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4016"/>
  </bookViews>
  <sheets>
    <sheet name="RBEDisplay" sheetId="2" r:id="rId1"/>
    <sheet name="RBE" sheetId="6" state="hidden" r:id="rId2"/>
  </sheets>
  <calcPr calcId="152511"/>
</workbook>
</file>

<file path=xl/calcChain.xml><?xml version="1.0" encoding="utf-8"?>
<calcChain xmlns="http://schemas.openxmlformats.org/spreadsheetml/2006/main">
  <c r="AF43" i="2" l="1"/>
  <c r="AD43" i="2"/>
  <c r="W2" i="6"/>
  <c r="S44" i="2"/>
  <c r="O44" i="2"/>
  <c r="K44" i="2"/>
  <c r="Q43" i="2"/>
  <c r="M43" i="2"/>
  <c r="S42" i="2"/>
  <c r="O42" i="2"/>
  <c r="K42" i="2"/>
  <c r="N44" i="2"/>
  <c r="P43" i="2"/>
  <c r="R42" i="2"/>
  <c r="N42" i="2"/>
  <c r="M44" i="2"/>
  <c r="S43" i="2"/>
  <c r="K43" i="2"/>
  <c r="M42" i="2"/>
  <c r="P44" i="2"/>
  <c r="L44" i="2"/>
  <c r="N43" i="2"/>
  <c r="P42" i="2"/>
  <c r="R44" i="2"/>
  <c r="T43" i="2"/>
  <c r="L43" i="2"/>
  <c r="Q44" i="2"/>
  <c r="O43" i="2"/>
  <c r="Q42" i="2"/>
  <c r="T44" i="2"/>
  <c r="R43" i="2"/>
  <c r="T42" i="2"/>
  <c r="L42" i="2"/>
  <c r="S15" i="2"/>
  <c r="R14" i="2"/>
  <c r="U13" i="2"/>
  <c r="L13" i="2"/>
  <c r="M15" i="2"/>
  <c r="L14" i="2"/>
  <c r="K13" i="2"/>
  <c r="R15" i="2"/>
  <c r="N15" i="2"/>
  <c r="U14" i="2"/>
  <c r="Q14" i="2"/>
  <c r="M14" i="2"/>
  <c r="T13" i="2"/>
  <c r="P13" i="2"/>
  <c r="U15" i="2"/>
  <c r="P14" i="2"/>
  <c r="O13" i="2"/>
  <c r="T15" i="2"/>
  <c r="P15" i="2"/>
  <c r="L15" i="2"/>
  <c r="S14" i="2"/>
  <c r="O14" i="2"/>
  <c r="K14" i="2"/>
  <c r="R13" i="2"/>
  <c r="N13" i="2"/>
  <c r="O15" i="2"/>
  <c r="K15" i="2"/>
  <c r="N14" i="2"/>
  <c r="Q13" i="2"/>
  <c r="M13" i="2"/>
  <c r="Q15" i="2"/>
  <c r="T14" i="2"/>
  <c r="S13" i="2"/>
  <c r="T10" i="2"/>
  <c r="P10" i="2"/>
  <c r="L10" i="2"/>
  <c r="T9" i="2"/>
  <c r="P9" i="2"/>
  <c r="L9" i="2"/>
  <c r="T8" i="2"/>
  <c r="P8" i="2"/>
  <c r="L8" i="2"/>
  <c r="S10" i="2"/>
  <c r="O10" i="2"/>
  <c r="K10" i="2"/>
  <c r="S9" i="2"/>
  <c r="O9" i="2"/>
  <c r="K9" i="2"/>
  <c r="S8" i="2"/>
  <c r="O8" i="2"/>
  <c r="K8" i="2"/>
  <c r="R10" i="2"/>
  <c r="N10" i="2"/>
  <c r="J10" i="2"/>
  <c r="R9" i="2"/>
  <c r="N9" i="2"/>
  <c r="J9" i="2"/>
  <c r="R8" i="2"/>
  <c r="N8" i="2"/>
  <c r="J8" i="2"/>
  <c r="U10" i="2"/>
  <c r="Q10" i="2"/>
  <c r="M10" i="2"/>
  <c r="U9" i="2"/>
  <c r="Q9" i="2"/>
  <c r="M9" i="2"/>
  <c r="U8" i="2"/>
  <c r="Q8" i="2"/>
  <c r="M8" i="2"/>
  <c r="U43" i="6"/>
  <c r="U41" i="6"/>
  <c r="U39" i="6"/>
  <c r="U37" i="6"/>
  <c r="U35" i="6"/>
  <c r="T41" i="6"/>
  <c r="T37" i="6"/>
  <c r="U42" i="6"/>
  <c r="U38" i="6"/>
  <c r="U34" i="6"/>
  <c r="T42" i="6"/>
  <c r="T40" i="6"/>
  <c r="T38" i="6"/>
  <c r="T36" i="6"/>
  <c r="T34" i="6"/>
  <c r="T43" i="6"/>
  <c r="T39" i="6"/>
  <c r="T35" i="6"/>
  <c r="U40" i="6"/>
  <c r="U36" i="6"/>
  <c r="I53" i="2"/>
  <c r="E53" i="2"/>
  <c r="G52" i="2"/>
  <c r="I51" i="2"/>
  <c r="E51" i="2"/>
  <c r="G50" i="2"/>
  <c r="I49" i="2"/>
  <c r="E49" i="2"/>
  <c r="G48" i="2"/>
  <c r="I47" i="2"/>
  <c r="E47" i="2"/>
  <c r="G46" i="2"/>
  <c r="I45" i="2"/>
  <c r="E45" i="2"/>
  <c r="I44" i="2"/>
  <c r="E44" i="2"/>
  <c r="A33" i="2"/>
  <c r="A21" i="2"/>
  <c r="A13" i="2"/>
  <c r="G51" i="2"/>
  <c r="G49" i="2"/>
  <c r="E48" i="2"/>
  <c r="I46" i="2"/>
  <c r="G44" i="2"/>
  <c r="A35" i="2"/>
  <c r="A19" i="2"/>
  <c r="H53" i="2"/>
  <c r="B53" i="2"/>
  <c r="F52" i="2"/>
  <c r="H51" i="2"/>
  <c r="B51" i="2"/>
  <c r="F50" i="2"/>
  <c r="H49" i="2"/>
  <c r="B49" i="2"/>
  <c r="F48" i="2"/>
  <c r="H47" i="2"/>
  <c r="B47" i="2"/>
  <c r="F46" i="2"/>
  <c r="H45" i="2"/>
  <c r="B45" i="2"/>
  <c r="H44" i="2"/>
  <c r="B44" i="2"/>
  <c r="A36" i="2"/>
  <c r="A32" i="2"/>
  <c r="A28" i="2"/>
  <c r="A20" i="2"/>
  <c r="A16" i="2"/>
  <c r="G53" i="2"/>
  <c r="I52" i="2"/>
  <c r="E50" i="2"/>
  <c r="I48" i="2"/>
  <c r="G45" i="2"/>
  <c r="A31" i="2"/>
  <c r="A15" i="2"/>
  <c r="F53" i="2"/>
  <c r="H52" i="2"/>
  <c r="B52" i="2"/>
  <c r="F51" i="2"/>
  <c r="H50" i="2"/>
  <c r="B50" i="2"/>
  <c r="F49" i="2"/>
  <c r="H48" i="2"/>
  <c r="B48" i="2"/>
  <c r="F47" i="2"/>
  <c r="H46" i="2"/>
  <c r="B46" i="2"/>
  <c r="F45" i="2"/>
  <c r="F44" i="2"/>
  <c r="A38" i="2"/>
  <c r="A34" i="2"/>
  <c r="A30" i="2"/>
  <c r="A22" i="2"/>
  <c r="A18" i="2"/>
  <c r="A14" i="2"/>
  <c r="A37" i="2"/>
  <c r="A29" i="2"/>
  <c r="A17" i="2"/>
  <c r="E52" i="2"/>
  <c r="I50" i="2"/>
  <c r="G47" i="2"/>
  <c r="E46" i="2"/>
  <c r="A39" i="2"/>
  <c r="A23" i="2"/>
  <c r="U5" i="6"/>
  <c r="U10" i="6"/>
  <c r="U2" i="6"/>
  <c r="U9" i="6"/>
  <c r="U11" i="6"/>
  <c r="U13" i="6"/>
  <c r="G55" i="2"/>
  <c r="U6" i="6"/>
  <c r="U8" i="6"/>
  <c r="U12" i="6"/>
  <c r="C55" i="2"/>
  <c r="S36" i="6"/>
  <c r="U4" i="6"/>
  <c r="C56" i="2"/>
  <c r="U3" i="6"/>
  <c r="R35" i="6"/>
  <c r="S35" i="6"/>
  <c r="U7" i="6"/>
  <c r="K27" i="2" l="1"/>
  <c r="K26" i="2"/>
  <c r="R36" i="6"/>
  <c r="AF44" i="2"/>
  <c r="AD44" i="2"/>
  <c r="C37" i="2"/>
  <c r="G19" i="2"/>
  <c r="I23" i="2"/>
  <c r="H30" i="2"/>
  <c r="D16" i="2"/>
  <c r="F31" i="2"/>
  <c r="H18" i="2"/>
  <c r="D34" i="2"/>
  <c r="H14" i="2"/>
  <c r="H32" i="2"/>
  <c r="H29" i="2"/>
  <c r="G21" i="2"/>
  <c r="G30" i="2"/>
  <c r="G31" i="2"/>
  <c r="G18" i="2"/>
  <c r="F14" i="2"/>
  <c r="I39" i="2"/>
  <c r="G28" i="2"/>
  <c r="I34" i="2"/>
  <c r="H39" i="2"/>
  <c r="H21" i="2"/>
  <c r="F22" i="2"/>
  <c r="F38" i="2"/>
  <c r="E39" i="2"/>
  <c r="I29" i="2"/>
  <c r="B15" i="2"/>
  <c r="H17" i="2"/>
  <c r="D28" i="2"/>
  <c r="E15" i="2"/>
  <c r="G13" i="2"/>
  <c r="C23" i="2"/>
  <c r="D31" i="2"/>
  <c r="I35" i="2"/>
  <c r="G23" i="2"/>
  <c r="H31" i="2"/>
  <c r="I14" i="2"/>
  <c r="B32" i="2"/>
  <c r="C38" i="2"/>
  <c r="C17" i="2"/>
  <c r="C29" i="2"/>
  <c r="D21" i="2"/>
  <c r="H28" i="2"/>
  <c r="F36" i="2"/>
  <c r="G33" i="2"/>
  <c r="G22" i="2"/>
  <c r="I15" i="2"/>
  <c r="F20" i="2"/>
  <c r="B37" i="2"/>
  <c r="B19" i="2"/>
  <c r="E23" i="2"/>
  <c r="Q2" i="6"/>
  <c r="E28" i="2"/>
  <c r="C36" i="2"/>
  <c r="F33" i="2"/>
  <c r="I22" i="2"/>
  <c r="D15" i="2"/>
  <c r="D35" i="2"/>
  <c r="G38" i="2"/>
  <c r="H13" i="2"/>
  <c r="I37" i="2"/>
  <c r="D19" i="2"/>
  <c r="B23" i="2"/>
  <c r="I30" i="2"/>
  <c r="H16" i="2"/>
  <c r="H33" i="2"/>
  <c r="B22" i="2"/>
  <c r="G14" i="2"/>
  <c r="C32" i="2"/>
  <c r="E38" i="2"/>
  <c r="H37" i="2"/>
  <c r="F19" i="2"/>
  <c r="H23" i="2"/>
  <c r="E30" i="2"/>
  <c r="B16" i="2"/>
  <c r="C31" i="2"/>
  <c r="F18" i="2"/>
  <c r="F34" i="2"/>
  <c r="C14" i="2"/>
  <c r="B20" i="2"/>
  <c r="E32" i="2"/>
  <c r="B39" i="2"/>
  <c r="E14" i="2"/>
  <c r="F32" i="2"/>
  <c r="D32" i="2"/>
  <c r="D20" i="2"/>
  <c r="E29" i="2"/>
  <c r="E18" i="2"/>
  <c r="C20" i="2"/>
  <c r="G17" i="2"/>
  <c r="C28" i="2"/>
  <c r="I33" i="2"/>
  <c r="G15" i="2"/>
  <c r="I13" i="2"/>
  <c r="I20" i="2"/>
  <c r="E17" i="2"/>
  <c r="I28" i="2"/>
  <c r="E33" i="2"/>
  <c r="E35" i="2"/>
  <c r="B29" i="2"/>
  <c r="G36" i="2"/>
  <c r="C22" i="2"/>
  <c r="H38" i="2"/>
  <c r="I19" i="2"/>
  <c r="I16" i="2"/>
  <c r="C18" i="2"/>
  <c r="I38" i="2"/>
  <c r="C19" i="2"/>
  <c r="G16" i="2"/>
  <c r="H34" i="2"/>
  <c r="C39" i="2"/>
  <c r="H20" i="2"/>
  <c r="D37" i="2"/>
  <c r="H19" i="2"/>
  <c r="D23" i="2"/>
  <c r="D30" i="2"/>
  <c r="E16" i="2"/>
  <c r="B31" i="2"/>
  <c r="D18" i="2"/>
  <c r="B34" i="2"/>
  <c r="B14" i="2"/>
  <c r="D38" i="2"/>
  <c r="G37" i="2"/>
  <c r="E19" i="2"/>
  <c r="F23" i="2"/>
  <c r="C30" i="2"/>
  <c r="C16" i="2"/>
  <c r="I31" i="2"/>
  <c r="B18" i="2"/>
  <c r="E34" i="2"/>
  <c r="D14" i="2"/>
  <c r="G20" i="2"/>
  <c r="G32" i="2"/>
  <c r="F39" i="2"/>
  <c r="D17" i="2"/>
  <c r="F29" i="2"/>
  <c r="I21" i="2"/>
  <c r="F28" i="2"/>
  <c r="I36" i="2"/>
  <c r="C33" i="2"/>
  <c r="H22" i="2"/>
  <c r="G35" i="2"/>
  <c r="E13" i="2"/>
  <c r="B13" i="2"/>
  <c r="I17" i="2"/>
  <c r="D29" i="2"/>
  <c r="F21" i="2"/>
  <c r="B28" i="2"/>
  <c r="E36" i="2"/>
  <c r="B33" i="2"/>
  <c r="E22" i="2"/>
  <c r="H15" i="2"/>
  <c r="H35" i="2"/>
  <c r="B38" i="2"/>
  <c r="F13" i="2"/>
  <c r="E31" i="2"/>
  <c r="C35" i="2"/>
  <c r="D13" i="2"/>
  <c r="C13" i="2"/>
  <c r="B17" i="2"/>
  <c r="F16" i="2"/>
  <c r="G34" i="2"/>
  <c r="I32" i="2"/>
  <c r="F17" i="2"/>
  <c r="E21" i="2"/>
  <c r="H36" i="2"/>
  <c r="D39" i="2"/>
  <c r="G29" i="2"/>
  <c r="B36" i="2"/>
  <c r="F35" i="2"/>
  <c r="C34" i="2"/>
  <c r="B21" i="2"/>
  <c r="D36" i="2"/>
  <c r="D22" i="2"/>
  <c r="G39" i="2"/>
  <c r="C21" i="2"/>
  <c r="D33" i="2"/>
  <c r="B35" i="2"/>
  <c r="E37" i="2"/>
  <c r="B30" i="2"/>
  <c r="F15" i="2"/>
  <c r="F37" i="2"/>
  <c r="F30" i="2"/>
  <c r="I18" i="2"/>
  <c r="E20" i="2"/>
  <c r="C15" i="2"/>
  <c r="A2" i="6" l="1"/>
  <c r="P2" i="6"/>
  <c r="AH2" i="6" s="1"/>
  <c r="AC43" i="2"/>
  <c r="R37" i="6"/>
  <c r="AF45" i="2"/>
  <c r="AD45" i="2"/>
  <c r="AJ2" i="6"/>
  <c r="J6" i="2"/>
  <c r="Q3" i="6"/>
  <c r="B2" i="6"/>
  <c r="R2" i="6"/>
  <c r="S2" i="6"/>
  <c r="T2" i="6"/>
  <c r="AA43" i="2"/>
  <c r="C2" i="6" l="1"/>
  <c r="D2" i="6" s="1"/>
  <c r="V2" i="6" s="1"/>
  <c r="AD6" i="2"/>
  <c r="J7" i="2" s="1"/>
  <c r="AC2" i="6"/>
  <c r="AF2" i="6" s="1"/>
  <c r="P3" i="6"/>
  <c r="AH3" i="6" s="1"/>
  <c r="AI2" i="6" s="1"/>
  <c r="A3" i="6"/>
  <c r="AC44" i="2"/>
  <c r="AL2" i="6"/>
  <c r="AB2" i="6"/>
  <c r="R38" i="6"/>
  <c r="AF46" i="2"/>
  <c r="Y6" i="2"/>
  <c r="AD46" i="2"/>
  <c r="T3" i="6"/>
  <c r="C9" i="2"/>
  <c r="B3" i="6"/>
  <c r="AJ3" i="6"/>
  <c r="K6" i="2"/>
  <c r="B4" i="2"/>
  <c r="R3" i="6"/>
  <c r="F9" i="2"/>
  <c r="Q4" i="6"/>
  <c r="D9" i="2"/>
  <c r="C7" i="2"/>
  <c r="K11" i="2"/>
  <c r="D7" i="2"/>
  <c r="S3" i="6"/>
  <c r="H9" i="2"/>
  <c r="AA44" i="2"/>
  <c r="AC3" i="6" l="1"/>
  <c r="AF3" i="6" s="1"/>
  <c r="AL3" i="6"/>
  <c r="AB3" i="6"/>
  <c r="A4" i="6"/>
  <c r="AC45" i="2"/>
  <c r="P4" i="6"/>
  <c r="AH4" i="6" s="1"/>
  <c r="AI3" i="6" s="1"/>
  <c r="AE6" i="2"/>
  <c r="K7" i="2" s="1"/>
  <c r="C3" i="6"/>
  <c r="R39" i="6"/>
  <c r="AF57" i="2"/>
  <c r="AF47" i="2"/>
  <c r="AC56" i="2"/>
  <c r="AF56" i="2"/>
  <c r="AD57" i="2"/>
  <c r="AD56" i="2"/>
  <c r="AD47" i="2"/>
  <c r="X2" i="6"/>
  <c r="AJ4" i="6"/>
  <c r="Q5" i="6"/>
  <c r="Y2" i="6"/>
  <c r="Z2" i="6"/>
  <c r="AA45" i="2"/>
  <c r="AK2" i="6"/>
  <c r="B4" i="6"/>
  <c r="AA56" i="2"/>
  <c r="T4" i="6"/>
  <c r="L6" i="2"/>
  <c r="S4" i="6"/>
  <c r="R4" i="6"/>
  <c r="AC4" i="6" l="1"/>
  <c r="AF4" i="6" s="1"/>
  <c r="C4" i="6"/>
  <c r="AL4" i="6"/>
  <c r="AB4" i="6"/>
  <c r="AF6" i="2"/>
  <c r="L7" i="2" s="1"/>
  <c r="L25" i="2" s="1"/>
  <c r="P5" i="6"/>
  <c r="AH5" i="6" s="1"/>
  <c r="AI4" i="6" s="1"/>
  <c r="AC46" i="2"/>
  <c r="A5" i="6"/>
  <c r="D3" i="6"/>
  <c r="E2" i="6"/>
  <c r="K25" i="2"/>
  <c r="K12" i="2"/>
  <c r="R40" i="6"/>
  <c r="K28" i="2"/>
  <c r="AA6" i="2"/>
  <c r="AF48" i="2"/>
  <c r="AD2" i="6"/>
  <c r="AG2" i="6" s="1"/>
  <c r="AA2" i="6"/>
  <c r="AD48" i="2"/>
  <c r="T5" i="6"/>
  <c r="S5" i="6"/>
  <c r="R5" i="6"/>
  <c r="Q6" i="6"/>
  <c r="M6" i="2"/>
  <c r="B5" i="6"/>
  <c r="AJ5" i="6"/>
  <c r="AA46" i="2"/>
  <c r="P6" i="6" l="1"/>
  <c r="AH6" i="6" s="1"/>
  <c r="AI5" i="6" s="1"/>
  <c r="A6" i="6"/>
  <c r="AC47" i="2"/>
  <c r="AL5" i="6"/>
  <c r="AC5" i="6"/>
  <c r="AF5" i="6" s="1"/>
  <c r="C5" i="6"/>
  <c r="AG6" i="2"/>
  <c r="M7" i="2" s="1"/>
  <c r="AB5" i="6"/>
  <c r="R41" i="6"/>
  <c r="D4" i="6"/>
  <c r="F2" i="6"/>
  <c r="K41" i="2"/>
  <c r="V34" i="6" s="1"/>
  <c r="L12" i="2"/>
  <c r="V3" i="6"/>
  <c r="AF58" i="2"/>
  <c r="AB6" i="2"/>
  <c r="AP6" i="2"/>
  <c r="AF49" i="2"/>
  <c r="AD58" i="2"/>
  <c r="AD49" i="2"/>
  <c r="AJ6" i="6"/>
  <c r="T6" i="6"/>
  <c r="S6" i="6"/>
  <c r="N6" i="2"/>
  <c r="R6" i="6"/>
  <c r="L11" i="2"/>
  <c r="Q7" i="6"/>
  <c r="AA47" i="2"/>
  <c r="B6" i="6"/>
  <c r="AB6" i="6" l="1"/>
  <c r="A7" i="6"/>
  <c r="AC48" i="2"/>
  <c r="P7" i="6"/>
  <c r="AH7" i="6" s="1"/>
  <c r="AI6" i="6" s="1"/>
  <c r="AL6" i="6"/>
  <c r="AH6" i="2"/>
  <c r="N7" i="2" s="1"/>
  <c r="C6" i="6"/>
  <c r="AC6" i="6"/>
  <c r="AF6" i="6" s="1"/>
  <c r="AC57" i="2"/>
  <c r="D5" i="6"/>
  <c r="G2" i="6"/>
  <c r="V4" i="6"/>
  <c r="L41" i="2"/>
  <c r="V35" i="6" s="1"/>
  <c r="M25" i="2"/>
  <c r="M12" i="2"/>
  <c r="R42" i="6"/>
  <c r="AF59" i="2"/>
  <c r="AQ6" i="2"/>
  <c r="AC6" i="2"/>
  <c r="AF50" i="2"/>
  <c r="AD59" i="2"/>
  <c r="AD50" i="2"/>
  <c r="AK3" i="6"/>
  <c r="Y3" i="6"/>
  <c r="M11" i="2"/>
  <c r="Q8" i="6"/>
  <c r="S7" i="6"/>
  <c r="W3" i="6"/>
  <c r="X3" i="6"/>
  <c r="Z3" i="6"/>
  <c r="AJ7" i="6"/>
  <c r="O6" i="2"/>
  <c r="R7" i="6"/>
  <c r="AA57" i="2"/>
  <c r="T7" i="6"/>
  <c r="AA48" i="2"/>
  <c r="B7" i="6"/>
  <c r="L26" i="2" l="1"/>
  <c r="AA3" i="6"/>
  <c r="L28" i="2"/>
  <c r="AI6" i="2"/>
  <c r="O7" i="2" s="1"/>
  <c r="N41" i="2" s="1"/>
  <c r="V37" i="6" s="1"/>
  <c r="AB7" i="6"/>
  <c r="AL7" i="6"/>
  <c r="C7" i="6"/>
  <c r="AC49" i="2"/>
  <c r="A8" i="6"/>
  <c r="P8" i="6"/>
  <c r="AH8" i="6" s="1"/>
  <c r="AI7" i="6" s="1"/>
  <c r="AD3" i="6"/>
  <c r="AG3" i="6" s="1"/>
  <c r="L27" i="2"/>
  <c r="AC7" i="6"/>
  <c r="AF7" i="6" s="1"/>
  <c r="M41" i="2"/>
  <c r="V36" i="6" s="1"/>
  <c r="N25" i="2"/>
  <c r="N12" i="2"/>
  <c r="V5" i="6"/>
  <c r="R43" i="6"/>
  <c r="H2" i="6"/>
  <c r="D6" i="6"/>
  <c r="AC58" i="2"/>
  <c r="AF60" i="2"/>
  <c r="AF51" i="2"/>
  <c r="AD60" i="2"/>
  <c r="AD51" i="2"/>
  <c r="AJ8" i="6"/>
  <c r="AK4" i="6"/>
  <c r="W4" i="6"/>
  <c r="X4" i="6"/>
  <c r="Y4" i="6"/>
  <c r="Z4" i="6"/>
  <c r="T8" i="6"/>
  <c r="Q9" i="6"/>
  <c r="S8" i="6"/>
  <c r="AA49" i="2"/>
  <c r="R8" i="6"/>
  <c r="P6" i="2"/>
  <c r="N11" i="2"/>
  <c r="B8" i="6"/>
  <c r="AA58" i="2"/>
  <c r="O12" i="2" l="1"/>
  <c r="AD4" i="6"/>
  <c r="AG4" i="6" s="1"/>
  <c r="AB8" i="6"/>
  <c r="M28" i="2"/>
  <c r="AA4" i="6"/>
  <c r="AJ6" i="2"/>
  <c r="P7" i="2" s="1"/>
  <c r="AC8" i="6"/>
  <c r="AF8" i="6" s="1"/>
  <c r="AC50" i="2"/>
  <c r="A9" i="6"/>
  <c r="P9" i="6"/>
  <c r="AH9" i="6" s="1"/>
  <c r="AI8" i="6" s="1"/>
  <c r="C8" i="6"/>
  <c r="M27" i="2"/>
  <c r="M26" i="2"/>
  <c r="AL8" i="6"/>
  <c r="V6" i="6"/>
  <c r="R44" i="6"/>
  <c r="O25" i="2"/>
  <c r="AC59" i="2"/>
  <c r="D7" i="6"/>
  <c r="I2" i="6"/>
  <c r="AF61" i="2"/>
  <c r="AF52" i="2"/>
  <c r="AD61" i="2"/>
  <c r="AD52" i="2"/>
  <c r="Q6" i="2"/>
  <c r="AA50" i="2"/>
  <c r="R9" i="6"/>
  <c r="B9" i="6"/>
  <c r="X5" i="6"/>
  <c r="Q10" i="6"/>
  <c r="O11" i="2"/>
  <c r="S9" i="6"/>
  <c r="AK5" i="6"/>
  <c r="T9" i="6"/>
  <c r="Z5" i="6"/>
  <c r="Y5" i="6"/>
  <c r="AA59" i="2"/>
  <c r="AJ9" i="6"/>
  <c r="W5" i="6"/>
  <c r="AC9" i="6" l="1"/>
  <c r="AF9" i="6" s="1"/>
  <c r="A10" i="6"/>
  <c r="AC51" i="2"/>
  <c r="P10" i="6"/>
  <c r="AH10" i="6" s="1"/>
  <c r="AI9" i="6" s="1"/>
  <c r="N26" i="2"/>
  <c r="AA5" i="6"/>
  <c r="AL9" i="6"/>
  <c r="N27" i="2"/>
  <c r="C9" i="6"/>
  <c r="AK6" i="2"/>
  <c r="Q7" i="2" s="1"/>
  <c r="AD5" i="6"/>
  <c r="AG5" i="6" s="1"/>
  <c r="AB9" i="6"/>
  <c r="N28" i="2"/>
  <c r="R45" i="6"/>
  <c r="AC60" i="2"/>
  <c r="O41" i="2"/>
  <c r="V38" i="6" s="1"/>
  <c r="P12" i="2"/>
  <c r="P25" i="2"/>
  <c r="V7" i="6"/>
  <c r="D8" i="6"/>
  <c r="J2" i="6"/>
  <c r="AF62" i="2"/>
  <c r="AF54" i="2"/>
  <c r="AF53" i="2"/>
  <c r="AD54" i="2"/>
  <c r="AD53" i="2"/>
  <c r="AD62" i="2"/>
  <c r="R6" i="2"/>
  <c r="AA51" i="2"/>
  <c r="T10" i="6"/>
  <c r="W6" i="6"/>
  <c r="AA60" i="2"/>
  <c r="S10" i="6"/>
  <c r="Z6" i="6"/>
  <c r="Y6" i="6"/>
  <c r="Q11" i="6"/>
  <c r="R10" i="6"/>
  <c r="P11" i="2"/>
  <c r="X6" i="6"/>
  <c r="AJ10" i="6"/>
  <c r="AK6" i="6"/>
  <c r="B10" i="6"/>
  <c r="AD6" i="6" l="1"/>
  <c r="AG6" i="6" s="1"/>
  <c r="C10" i="6"/>
  <c r="AA6" i="6"/>
  <c r="AC10" i="6"/>
  <c r="AF10" i="6" s="1"/>
  <c r="AB10" i="6"/>
  <c r="O26" i="2"/>
  <c r="A11" i="6"/>
  <c r="AC52" i="2"/>
  <c r="P11" i="6"/>
  <c r="AH11" i="6" s="1"/>
  <c r="AI10" i="6" s="1"/>
  <c r="AL6" i="2"/>
  <c r="R7" i="2" s="1"/>
  <c r="O28" i="2"/>
  <c r="AL10" i="6"/>
  <c r="O27" i="2"/>
  <c r="AC61" i="2"/>
  <c r="V8" i="6"/>
  <c r="R46" i="6"/>
  <c r="Q12" i="2"/>
  <c r="P41" i="2"/>
  <c r="V39" i="6" s="1"/>
  <c r="Q25" i="2"/>
  <c r="K2" i="6"/>
  <c r="D9" i="6"/>
  <c r="X7" i="6"/>
  <c r="T11" i="6"/>
  <c r="B11" i="6"/>
  <c r="Z7" i="6"/>
  <c r="Q13" i="6"/>
  <c r="AJ11" i="6"/>
  <c r="S11" i="6"/>
  <c r="S6" i="2"/>
  <c r="Q11" i="2"/>
  <c r="AK7" i="6"/>
  <c r="W7" i="6"/>
  <c r="R11" i="6"/>
  <c r="Y7" i="6"/>
  <c r="Q12" i="6"/>
  <c r="AA52" i="2"/>
  <c r="AA61" i="2"/>
  <c r="P27" i="2" l="1"/>
  <c r="AC11" i="6"/>
  <c r="AF11" i="6" s="1"/>
  <c r="AM6" i="2"/>
  <c r="S7" i="2" s="1"/>
  <c r="S25" i="2" s="1"/>
  <c r="P28" i="2"/>
  <c r="AC53" i="2"/>
  <c r="A12" i="6"/>
  <c r="P12" i="6"/>
  <c r="AH12" i="6" s="1"/>
  <c r="AA7" i="6"/>
  <c r="A13" i="6"/>
  <c r="P13" i="6"/>
  <c r="AH13" i="6" s="1"/>
  <c r="AC54" i="2"/>
  <c r="AD7" i="6"/>
  <c r="AG7" i="6" s="1"/>
  <c r="AB11" i="6"/>
  <c r="C11" i="6"/>
  <c r="AL11" i="6"/>
  <c r="P26" i="2"/>
  <c r="V9" i="6"/>
  <c r="Q41" i="2"/>
  <c r="V40" i="6" s="1"/>
  <c r="R12" i="2"/>
  <c r="R25" i="2"/>
  <c r="D10" i="6"/>
  <c r="L2" i="6"/>
  <c r="AC62" i="2"/>
  <c r="S12" i="6"/>
  <c r="R11" i="2"/>
  <c r="Y8" i="6"/>
  <c r="AA53" i="2"/>
  <c r="T12" i="6"/>
  <c r="W8" i="6"/>
  <c r="S13" i="6"/>
  <c r="AJ13" i="6"/>
  <c r="T13" i="6"/>
  <c r="R13" i="6"/>
  <c r="Z8" i="6"/>
  <c r="AJ12" i="6"/>
  <c r="AK8" i="6"/>
  <c r="X8" i="6"/>
  <c r="B13" i="6"/>
  <c r="R12" i="6"/>
  <c r="T6" i="2"/>
  <c r="U6" i="2"/>
  <c r="B12" i="6"/>
  <c r="AA62" i="2"/>
  <c r="AA54" i="2"/>
  <c r="AC12" i="6" l="1"/>
  <c r="AF12" i="6" s="1"/>
  <c r="Q27" i="2"/>
  <c r="AO6" i="2"/>
  <c r="U7" i="2" s="1"/>
  <c r="C13" i="6"/>
  <c r="Q26" i="2"/>
  <c r="AA8" i="6"/>
  <c r="AN6" i="2"/>
  <c r="T7" i="2" s="1"/>
  <c r="T25" i="2" s="1"/>
  <c r="AD8" i="6"/>
  <c r="AG8" i="6" s="1"/>
  <c r="AC13" i="6"/>
  <c r="AF13" i="6" s="1"/>
  <c r="AB13" i="6"/>
  <c r="C12" i="6"/>
  <c r="Q28" i="2"/>
  <c r="AL13" i="6"/>
  <c r="AL12" i="6"/>
  <c r="AB12" i="6"/>
  <c r="V10" i="6"/>
  <c r="R41" i="2"/>
  <c r="V41" i="6" s="1"/>
  <c r="AI11" i="6"/>
  <c r="AI12" i="6"/>
  <c r="D11" i="6"/>
  <c r="M2" i="6"/>
  <c r="S12" i="2"/>
  <c r="W9" i="6"/>
  <c r="Y9" i="6"/>
  <c r="S11" i="2"/>
  <c r="X9" i="6"/>
  <c r="Z9" i="6"/>
  <c r="AK9" i="6"/>
  <c r="T41" i="2" l="1"/>
  <c r="V43" i="6" s="1"/>
  <c r="AA9" i="6"/>
  <c r="R28" i="2"/>
  <c r="R26" i="2"/>
  <c r="AD9" i="6"/>
  <c r="AG9" i="6" s="1"/>
  <c r="R27" i="2"/>
  <c r="D13" i="6"/>
  <c r="O2" i="6"/>
  <c r="V13" i="6" s="1"/>
  <c r="V11" i="6"/>
  <c r="S41" i="2"/>
  <c r="V42" i="6" s="1"/>
  <c r="U12" i="2"/>
  <c r="U25" i="2"/>
  <c r="T12" i="2"/>
  <c r="D12" i="6"/>
  <c r="N2" i="6"/>
  <c r="X10" i="6"/>
  <c r="W10" i="6"/>
  <c r="AK10" i="6"/>
  <c r="Z10" i="6"/>
  <c r="T11" i="2"/>
  <c r="Y10" i="6"/>
  <c r="AA10" i="6" l="1"/>
  <c r="S28" i="2"/>
  <c r="S26" i="2"/>
  <c r="AD10" i="6"/>
  <c r="AG10" i="6" s="1"/>
  <c r="S27" i="2"/>
  <c r="V12" i="6"/>
  <c r="Z11" i="6"/>
  <c r="AK13" i="6"/>
  <c r="X13" i="6"/>
  <c r="Y11" i="6"/>
  <c r="Y13" i="6"/>
  <c r="W13" i="6"/>
  <c r="X11" i="6"/>
  <c r="U11" i="2"/>
  <c r="W11" i="6"/>
  <c r="Z13" i="6"/>
  <c r="AK11" i="6"/>
  <c r="AD11" i="6" l="1"/>
  <c r="AG11" i="6" s="1"/>
  <c r="T26" i="2"/>
  <c r="AA11" i="6"/>
  <c r="AA13" i="6"/>
  <c r="T28" i="2"/>
  <c r="AD13" i="6"/>
  <c r="AG13" i="6" s="1"/>
  <c r="T27" i="2"/>
  <c r="Y12" i="6"/>
  <c r="AK12" i="6"/>
  <c r="X12" i="6"/>
  <c r="W12" i="6"/>
  <c r="Z12" i="6"/>
  <c r="AA12" i="6" l="1"/>
  <c r="U28" i="2"/>
  <c r="U27" i="2"/>
  <c r="AD12" i="6"/>
  <c r="AG12" i="6" s="1"/>
  <c r="U26" i="2"/>
</calcChain>
</file>

<file path=xl/sharedStrings.xml><?xml version="1.0" encoding="utf-8"?>
<sst xmlns="http://schemas.openxmlformats.org/spreadsheetml/2006/main" count="63" uniqueCount="36">
  <si>
    <t>Bid</t>
  </si>
  <si>
    <t>Ask</t>
  </si>
  <si>
    <t>S</t>
  </si>
  <si>
    <t>LastTradeorSettle</t>
  </si>
  <si>
    <t>NetLastQuoteToday</t>
  </si>
  <si>
    <t>Split B&amp;A</t>
  </si>
  <si>
    <t>Symbol Check</t>
  </si>
  <si>
    <t xml:space="preserve">  </t>
  </si>
  <si>
    <t>Spreads</t>
  </si>
  <si>
    <t xml:space="preserve">LONDON: </t>
  </si>
  <si>
    <t>Last</t>
  </si>
  <si>
    <t>Symbol</t>
  </si>
  <si>
    <t>Open</t>
  </si>
  <si>
    <t>High</t>
  </si>
  <si>
    <t>Low</t>
  </si>
  <si>
    <t>Net</t>
  </si>
  <si>
    <t>Volume</t>
  </si>
  <si>
    <t>Last Trade</t>
  </si>
  <si>
    <t>One Month Calendar Spreads</t>
  </si>
  <si>
    <t>Symbols</t>
  </si>
  <si>
    <t>One Month Butterfly Calendar Spreads</t>
  </si>
  <si>
    <t xml:space="preserve">Chicago: </t>
  </si>
  <si>
    <t xml:space="preserve">  Copyright © 2015</t>
  </si>
  <si>
    <t>Tokyo:</t>
  </si>
  <si>
    <t>CQG Forward Curves</t>
  </si>
  <si>
    <t>RBE</t>
  </si>
  <si>
    <t>SPREAD(RBES1?1-RBES1?2)</t>
  </si>
  <si>
    <t>SPREAD(RBES1?2-RBES1?3)</t>
  </si>
  <si>
    <t>SPREAD(RBES1?3-RBES1?4)</t>
  </si>
  <si>
    <t>SPREAD(RBES1?4-RBES1?5)</t>
  </si>
  <si>
    <t>SPREAD(RBES1?5-RBES1?6)</t>
  </si>
  <si>
    <t>SPREAD(RBES1?6-RBES1?7)</t>
  </si>
  <si>
    <t>SPREAD(RBES1?7-RBES1?8)</t>
  </si>
  <si>
    <t>SPREAD(RBES1?8-RBES1?9)</t>
  </si>
  <si>
    <t>SPREAD(RBES1?9-RBES1?10)</t>
  </si>
  <si>
    <t>SPREAD(RBES1?10-RBES1?11)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</si>
</sst>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0.000"/>
    <numFmt numFmtId="166" formatCode="0.0000"/>
  </numFmts>
  <fonts count="30" x14ac:knownFonts="1"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.5"/>
      <color theme="0"/>
      <name val="Tahoma"/>
      <family val="2"/>
    </font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b/>
      <sz val="9.5"/>
      <color theme="1"/>
      <name val="Tahoma"/>
      <family val="2"/>
    </font>
    <font>
      <b/>
      <sz val="18"/>
      <color theme="0"/>
      <name val="Century Gothic"/>
      <family val="2"/>
    </font>
    <font>
      <sz val="12"/>
      <color theme="0"/>
      <name val="Century Gothic"/>
      <family val="2"/>
    </font>
    <font>
      <b/>
      <sz val="20"/>
      <color theme="1"/>
      <name val="Arial"/>
      <family val="2"/>
    </font>
    <font>
      <b/>
      <sz val="22"/>
      <color theme="1"/>
      <name val="Arial"/>
      <family val="2"/>
    </font>
    <font>
      <b/>
      <sz val="24"/>
      <color theme="1"/>
      <name val="Arial"/>
      <family val="2"/>
    </font>
    <font>
      <b/>
      <sz val="11"/>
      <color theme="0"/>
      <name val="Arial"/>
      <family val="2"/>
    </font>
    <font>
      <b/>
      <sz val="13"/>
      <color theme="0"/>
      <name val="Century Gothic"/>
      <family val="2"/>
    </font>
    <font>
      <b/>
      <sz val="13"/>
      <color theme="1"/>
      <name val="Century Gothic"/>
      <family val="2"/>
    </font>
    <font>
      <b/>
      <sz val="9.5"/>
      <color theme="1"/>
      <name val="Cambria"/>
      <family val="1"/>
    </font>
    <font>
      <b/>
      <sz val="13"/>
      <color theme="1"/>
      <name val="Cambria"/>
      <family val="1"/>
    </font>
    <font>
      <sz val="13"/>
      <color rgb="FF00B05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9.5"/>
      <color theme="0"/>
      <name val="Tahoma"/>
      <family val="2"/>
    </font>
    <font>
      <b/>
      <sz val="12"/>
      <color rgb="FF00B050"/>
      <name val="Century Gothic"/>
      <family val="2"/>
    </font>
    <font>
      <b/>
      <sz val="12"/>
      <color theme="9"/>
      <name val="Century Gothic"/>
      <family val="2"/>
    </font>
    <font>
      <b/>
      <sz val="12"/>
      <color rgb="FFFFC000"/>
      <name val="Century Gothic"/>
      <family val="2"/>
    </font>
    <font>
      <sz val="11"/>
      <color theme="1"/>
      <name val="Century Gothic"/>
      <family val="2"/>
    </font>
    <font>
      <sz val="12"/>
      <color rgb="FF00B050"/>
      <name val="Century Gothic"/>
      <family val="2"/>
    </font>
    <font>
      <sz val="24"/>
      <color theme="0"/>
      <name val="Century Gothic"/>
      <family val="2"/>
    </font>
    <font>
      <sz val="16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/>
        <bgColor auto="1"/>
      </patternFill>
    </fill>
    <fill>
      <gradientFill degree="90">
        <stop position="0">
          <color theme="1"/>
        </stop>
        <stop position="0.5">
          <color rgb="FF0070C0"/>
        </stop>
        <stop position="1">
          <color theme="1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theme="3"/>
        </stop>
        <stop position="1">
          <color theme="1"/>
        </stop>
      </gradientFill>
    </fill>
    <fill>
      <gradientFill degree="90">
        <stop position="0">
          <color rgb="FFC00000"/>
        </stop>
        <stop position="1">
          <color theme="0"/>
        </stop>
      </gradientFill>
    </fill>
    <fill>
      <gradientFill degree="270">
        <stop position="0">
          <color rgb="FF00B050"/>
        </stop>
        <stop position="1">
          <color theme="0"/>
        </stop>
      </gradientFill>
    </fill>
    <fill>
      <gradientFill degree="90">
        <stop position="0">
          <color theme="4"/>
        </stop>
        <stop position="1">
          <color theme="0"/>
        </stop>
      </gradientFill>
    </fill>
    <fill>
      <gradientFill degree="270">
        <stop position="0">
          <color theme="4"/>
        </stop>
        <stop position="1">
          <color theme="0"/>
        </stop>
      </gradientFill>
    </fill>
    <fill>
      <gradientFill degree="90">
        <stop position="0">
          <color rgb="FF002060"/>
        </stop>
        <stop position="0.5">
          <color theme="3"/>
        </stop>
        <stop position="1">
          <color rgb="FF002060"/>
        </stop>
      </gradientFill>
    </fill>
    <fill>
      <gradientFill degree="90">
        <stop position="0">
          <color rgb="FF002060"/>
        </stop>
        <stop position="0.5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</fills>
  <borders count="66">
    <border>
      <left/>
      <right/>
      <top/>
      <bottom/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/>
      <top/>
      <bottom style="medium">
        <color theme="3"/>
      </bottom>
      <diagonal/>
    </border>
    <border>
      <left style="medium">
        <color theme="3"/>
      </left>
      <right/>
      <top/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3"/>
      </right>
      <top/>
      <bottom/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/>
      <right style="medium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rgb="FFFF0000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rgb="FFFF0000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rgb="FFFF0000"/>
      </right>
      <top style="thin">
        <color theme="3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/>
      <bottom style="medium">
        <color theme="4"/>
      </bottom>
      <diagonal/>
    </border>
    <border>
      <left/>
      <right style="medium">
        <color theme="4"/>
      </right>
      <top/>
      <bottom style="medium">
        <color theme="4"/>
      </bottom>
      <diagonal/>
    </border>
    <border>
      <left style="thin">
        <color rgb="FFFF0000"/>
      </left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theme="3"/>
      </left>
      <right/>
      <top style="thin">
        <color rgb="FFFF0000"/>
      </top>
      <bottom style="thin">
        <color theme="3"/>
      </bottom>
      <diagonal/>
    </border>
    <border>
      <left/>
      <right/>
      <top style="thin">
        <color rgb="FFFF0000"/>
      </top>
      <bottom style="thin">
        <color theme="3"/>
      </bottom>
      <diagonal/>
    </border>
    <border>
      <left/>
      <right style="thin">
        <color theme="3"/>
      </right>
      <top style="thin">
        <color rgb="FFFF0000"/>
      </top>
      <bottom style="thin">
        <color theme="3"/>
      </bottom>
      <diagonal/>
    </border>
    <border>
      <left style="thin">
        <color rgb="FFC00000"/>
      </left>
      <right/>
      <top/>
      <bottom/>
      <diagonal/>
    </border>
    <border>
      <left style="thin">
        <color rgb="FFFF0000"/>
      </left>
      <right/>
      <top style="thin">
        <color theme="3"/>
      </top>
      <bottom/>
      <diagonal/>
    </border>
    <border>
      <left/>
      <right style="thin">
        <color rgb="FFFF0000"/>
      </right>
      <top style="thin">
        <color theme="3"/>
      </top>
      <bottom/>
      <diagonal/>
    </border>
    <border>
      <left style="medium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thin">
        <color theme="4"/>
      </right>
      <top/>
      <bottom style="thin">
        <color rgb="FFC00000"/>
      </bottom>
      <diagonal/>
    </border>
    <border>
      <left style="thin">
        <color theme="4"/>
      </left>
      <right style="medium">
        <color theme="4"/>
      </right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/>
      <right style="medium">
        <color theme="3"/>
      </right>
      <top/>
      <bottom style="thin">
        <color rgb="FFC00000"/>
      </bottom>
      <diagonal/>
    </border>
    <border>
      <left/>
      <right style="thin">
        <color rgb="FFFF0000"/>
      </right>
      <top style="thin">
        <color theme="3"/>
      </top>
      <bottom style="thin">
        <color theme="3"/>
      </bottom>
      <diagonal/>
    </border>
    <border>
      <left style="thin">
        <color theme="4"/>
      </left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/>
      <right style="thin">
        <color rgb="FFC00000"/>
      </right>
      <top/>
      <bottom/>
      <diagonal/>
    </border>
    <border>
      <left/>
      <right style="thin">
        <color rgb="FFC00000"/>
      </right>
      <top style="thin">
        <color rgb="FFFF0000"/>
      </top>
      <bottom style="thin">
        <color rgb="FFFF0000"/>
      </bottom>
      <diagonal/>
    </border>
    <border>
      <left style="thin">
        <color rgb="FFC00000"/>
      </left>
      <right/>
      <top style="thin">
        <color rgb="FFC00000"/>
      </top>
      <bottom/>
      <diagonal/>
    </border>
    <border>
      <left/>
      <right/>
      <top style="thin">
        <color rgb="FFC00000"/>
      </top>
      <bottom/>
      <diagonal/>
    </border>
    <border>
      <left/>
      <right style="thin">
        <color rgb="FFC00000"/>
      </right>
      <top style="thin">
        <color rgb="FFC00000"/>
      </top>
      <bottom/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 style="thin">
        <color rgb="FFC00000"/>
      </top>
      <bottom/>
      <diagonal/>
    </border>
    <border>
      <left/>
      <right style="thin">
        <color rgb="FFFF0000"/>
      </right>
      <top style="thin">
        <color rgb="FFC00000"/>
      </top>
      <bottom/>
      <diagonal/>
    </border>
    <border>
      <left style="thin">
        <color rgb="FFFF0000"/>
      </left>
      <right/>
      <top/>
      <bottom style="thin">
        <color rgb="FFC00000"/>
      </bottom>
      <diagonal/>
    </border>
    <border>
      <left/>
      <right style="thin">
        <color rgb="FFFF0000"/>
      </right>
      <top/>
      <bottom style="thin">
        <color rgb="FFC00000"/>
      </bottom>
      <diagonal/>
    </border>
    <border>
      <left style="thin">
        <color theme="4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medium">
        <color theme="4"/>
      </bottom>
      <diagonal/>
    </border>
    <border>
      <left style="thin">
        <color rgb="FFC00000"/>
      </left>
      <right style="thin">
        <color rgb="FFFF0000"/>
      </right>
      <top style="thin">
        <color rgb="FFC00000"/>
      </top>
      <bottom style="thin">
        <color rgb="FFC00000"/>
      </bottom>
      <diagonal/>
    </border>
    <border>
      <left style="thin">
        <color rgb="FFFF0000"/>
      </left>
      <right/>
      <top/>
      <bottom style="thin">
        <color theme="3"/>
      </bottom>
      <diagonal/>
    </border>
    <border>
      <left style="thin">
        <color rgb="FFFF0000"/>
      </left>
      <right/>
      <top/>
      <bottom style="medium">
        <color theme="3"/>
      </bottom>
      <diagonal/>
    </border>
  </borders>
  <cellStyleXfs count="4">
    <xf numFmtId="0" fontId="0" fillId="0" borderId="0"/>
    <xf numFmtId="0" fontId="4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3" fillId="2" borderId="0" xfId="0" applyFont="1" applyFill="1"/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 shrinkToFit="1"/>
    </xf>
    <xf numFmtId="2" fontId="3" fillId="2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shrinkToFit="1"/>
    </xf>
    <xf numFmtId="0" fontId="3" fillId="2" borderId="0" xfId="0" applyFont="1" applyFill="1"/>
    <xf numFmtId="0" fontId="6" fillId="2" borderId="0" xfId="0" applyFont="1" applyFill="1"/>
    <xf numFmtId="2" fontId="9" fillId="3" borderId="3" xfId="0" applyNumberFormat="1" applyFont="1" applyFill="1" applyBorder="1" applyAlignment="1">
      <alignment horizontal="center" vertical="center" shrinkToFit="1"/>
    </xf>
    <xf numFmtId="1" fontId="9" fillId="3" borderId="0" xfId="0" applyNumberFormat="1" applyFont="1" applyFill="1" applyBorder="1" applyAlignment="1">
      <alignment horizontal="center" vertical="center" shrinkToFit="1"/>
    </xf>
    <xf numFmtId="2" fontId="9" fillId="3" borderId="0" xfId="0" applyNumberFormat="1" applyFont="1" applyFill="1" applyBorder="1" applyAlignment="1">
      <alignment horizontal="center" vertical="center" shrinkToFit="1"/>
    </xf>
    <xf numFmtId="165" fontId="11" fillId="3" borderId="0" xfId="0" applyNumberFormat="1" applyFont="1" applyFill="1" applyBorder="1" applyAlignment="1">
      <alignment horizontal="center" vertical="center"/>
    </xf>
    <xf numFmtId="2" fontId="8" fillId="2" borderId="12" xfId="0" applyNumberFormat="1" applyFont="1" applyFill="1" applyBorder="1" applyAlignment="1">
      <alignment horizontal="center"/>
    </xf>
    <xf numFmtId="0" fontId="8" fillId="3" borderId="12" xfId="0" applyFont="1" applyFill="1" applyBorder="1" applyAlignment="1">
      <alignment horizontal="center" shrinkToFit="1"/>
    </xf>
    <xf numFmtId="0" fontId="8" fillId="4" borderId="12" xfId="0" applyFont="1" applyFill="1" applyBorder="1" applyAlignment="1">
      <alignment horizontal="center" shrinkToFit="1"/>
    </xf>
    <xf numFmtId="2" fontId="12" fillId="5" borderId="14" xfId="0" applyNumberFormat="1" applyFont="1" applyFill="1" applyBorder="1" applyAlignment="1">
      <alignment horizontal="center" vertical="center"/>
    </xf>
    <xf numFmtId="0" fontId="12" fillId="5" borderId="15" xfId="0" applyFont="1" applyFill="1" applyBorder="1" applyAlignment="1">
      <alignment horizontal="center" vertical="center"/>
    </xf>
    <xf numFmtId="0" fontId="12" fillId="5" borderId="16" xfId="0" applyFont="1" applyFill="1" applyBorder="1" applyAlignment="1">
      <alignment horizontal="center" vertical="center"/>
    </xf>
    <xf numFmtId="2" fontId="8" fillId="2" borderId="10" xfId="0" applyNumberFormat="1" applyFont="1" applyFill="1" applyBorder="1" applyAlignment="1">
      <alignment shrinkToFit="1"/>
    </xf>
    <xf numFmtId="2" fontId="8" fillId="2" borderId="11" xfId="0" applyNumberFormat="1" applyFont="1" applyFill="1" applyBorder="1" applyAlignment="1">
      <alignment shrinkToFit="1"/>
    </xf>
    <xf numFmtId="0" fontId="14" fillId="2" borderId="0" xfId="0" applyFont="1" applyFill="1"/>
    <xf numFmtId="0" fontId="13" fillId="2" borderId="0" xfId="0" applyFont="1" applyFill="1"/>
    <xf numFmtId="0" fontId="8" fillId="12" borderId="17" xfId="0" applyFont="1" applyFill="1" applyBorder="1" applyAlignment="1">
      <alignment shrinkToFit="1"/>
    </xf>
    <xf numFmtId="0" fontId="15" fillId="2" borderId="0" xfId="0" applyFont="1" applyFill="1"/>
    <xf numFmtId="0" fontId="16" fillId="2" borderId="0" xfId="0" applyFont="1" applyFill="1"/>
    <xf numFmtId="0" fontId="8" fillId="12" borderId="19" xfId="0" applyFont="1" applyFill="1" applyBorder="1" applyAlignment="1">
      <alignment shrinkToFit="1"/>
    </xf>
    <xf numFmtId="3" fontId="8" fillId="2" borderId="18" xfId="0" applyNumberFormat="1" applyFont="1" applyFill="1" applyBorder="1" applyAlignment="1">
      <alignment shrinkToFit="1"/>
    </xf>
    <xf numFmtId="3" fontId="12" fillId="5" borderId="16" xfId="0" applyNumberFormat="1" applyFont="1" applyFill="1" applyBorder="1" applyAlignment="1">
      <alignment horizontal="center" vertical="center"/>
    </xf>
    <xf numFmtId="3" fontId="8" fillId="2" borderId="20" xfId="0" applyNumberFormat="1" applyFont="1" applyFill="1" applyBorder="1" applyAlignment="1">
      <alignment shrinkToFit="1"/>
    </xf>
    <xf numFmtId="0" fontId="8" fillId="12" borderId="17" xfId="0" applyFont="1" applyFill="1" applyBorder="1" applyAlignment="1">
      <alignment horizontal="center" shrinkToFit="1"/>
    </xf>
    <xf numFmtId="0" fontId="18" fillId="12" borderId="12" xfId="0" applyFont="1" applyFill="1" applyBorder="1" applyAlignment="1">
      <alignment horizontal="center" vertical="center"/>
    </xf>
    <xf numFmtId="0" fontId="18" fillId="12" borderId="13" xfId="0" applyFont="1" applyFill="1" applyBorder="1" applyAlignment="1">
      <alignment horizontal="center" vertical="center" shrinkToFit="1"/>
    </xf>
    <xf numFmtId="0" fontId="18" fillId="12" borderId="12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2" fontId="12" fillId="5" borderId="14" xfId="0" applyNumberFormat="1" applyFont="1" applyFill="1" applyBorder="1" applyAlignment="1">
      <alignment horizontal="center" vertical="center" shrinkToFit="1"/>
    </xf>
    <xf numFmtId="0" fontId="22" fillId="4" borderId="36" xfId="0" applyFont="1" applyFill="1" applyBorder="1" applyAlignment="1">
      <alignment horizontal="center"/>
    </xf>
    <xf numFmtId="0" fontId="22" fillId="4" borderId="37" xfId="0" applyFont="1" applyFill="1" applyBorder="1" applyAlignment="1">
      <alignment horizontal="center"/>
    </xf>
    <xf numFmtId="0" fontId="22" fillId="4" borderId="38" xfId="0" applyFont="1" applyFill="1" applyBorder="1" applyAlignment="1">
      <alignment horizontal="center"/>
    </xf>
    <xf numFmtId="0" fontId="22" fillId="4" borderId="39" xfId="0" applyFont="1" applyFill="1" applyBorder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22" xfId="0" applyFont="1" applyFill="1" applyBorder="1"/>
    <xf numFmtId="0" fontId="3" fillId="3" borderId="44" xfId="0" applyFont="1" applyFill="1" applyBorder="1"/>
    <xf numFmtId="0" fontId="3" fillId="2" borderId="45" xfId="0" applyFont="1" applyFill="1" applyBorder="1"/>
    <xf numFmtId="0" fontId="3" fillId="3" borderId="47" xfId="0" applyFont="1" applyFill="1" applyBorder="1" applyAlignment="1">
      <alignment horizontal="center" shrinkToFit="1"/>
    </xf>
    <xf numFmtId="0" fontId="3" fillId="3" borderId="48" xfId="0" applyFont="1" applyFill="1" applyBorder="1" applyAlignment="1">
      <alignment horizontal="center" shrinkToFit="1"/>
    </xf>
    <xf numFmtId="0" fontId="3" fillId="2" borderId="48" xfId="0" applyFont="1" applyFill="1" applyBorder="1"/>
    <xf numFmtId="0" fontId="3" fillId="2" borderId="49" xfId="0" applyFont="1" applyFill="1" applyBorder="1"/>
    <xf numFmtId="2" fontId="3" fillId="2" borderId="33" xfId="0" applyNumberFormat="1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2" fontId="3" fillId="2" borderId="39" xfId="0" applyNumberFormat="1" applyFont="1" applyFill="1" applyBorder="1" applyAlignment="1">
      <alignment horizontal="center"/>
    </xf>
    <xf numFmtId="0" fontId="3" fillId="2" borderId="39" xfId="0" applyFont="1" applyFill="1" applyBorder="1"/>
    <xf numFmtId="0" fontId="3" fillId="2" borderId="50" xfId="0" applyFont="1" applyFill="1" applyBorder="1"/>
    <xf numFmtId="0" fontId="18" fillId="12" borderId="50" xfId="0" applyFont="1" applyFill="1" applyBorder="1" applyAlignment="1">
      <alignment horizontal="center" vertical="center" shrinkToFit="1"/>
    </xf>
    <xf numFmtId="0" fontId="18" fillId="12" borderId="51" xfId="0" applyFont="1" applyFill="1" applyBorder="1" applyAlignment="1">
      <alignment horizontal="center" vertical="center" shrinkToFit="1"/>
    </xf>
    <xf numFmtId="0" fontId="18" fillId="3" borderId="44" xfId="0" applyFont="1" applyFill="1" applyBorder="1" applyAlignment="1">
      <alignment horizontal="center" vertical="center" shrinkToFit="1"/>
    </xf>
    <xf numFmtId="2" fontId="3" fillId="3" borderId="52" xfId="0" applyNumberFormat="1" applyFont="1" applyFill="1" applyBorder="1" applyAlignment="1">
      <alignment horizontal="center" shrinkToFit="1"/>
    </xf>
    <xf numFmtId="2" fontId="3" fillId="3" borderId="53" xfId="0" applyNumberFormat="1" applyFont="1" applyFill="1" applyBorder="1" applyAlignment="1">
      <alignment horizontal="center" shrinkToFit="1"/>
    </xf>
    <xf numFmtId="0" fontId="3" fillId="3" borderId="53" xfId="0" applyFont="1" applyFill="1" applyBorder="1" applyAlignment="1">
      <alignment horizontal="right"/>
    </xf>
    <xf numFmtId="0" fontId="3" fillId="3" borderId="53" xfId="0" applyFont="1" applyFill="1" applyBorder="1"/>
    <xf numFmtId="0" fontId="3" fillId="3" borderId="54" xfId="0" applyFont="1" applyFill="1" applyBorder="1"/>
    <xf numFmtId="2" fontId="3" fillId="2" borderId="55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right"/>
    </xf>
    <xf numFmtId="0" fontId="3" fillId="2" borderId="56" xfId="0" applyFont="1" applyFill="1" applyBorder="1"/>
    <xf numFmtId="2" fontId="3" fillId="3" borderId="55" xfId="0" applyNumberFormat="1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right"/>
    </xf>
    <xf numFmtId="2" fontId="3" fillId="2" borderId="21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center"/>
    </xf>
    <xf numFmtId="2" fontId="3" fillId="2" borderId="22" xfId="0" applyNumberFormat="1" applyFont="1" applyFill="1" applyBorder="1" applyAlignment="1">
      <alignment horizontal="right"/>
    </xf>
    <xf numFmtId="0" fontId="3" fillId="2" borderId="23" xfId="0" applyFont="1" applyFill="1" applyBorder="1"/>
    <xf numFmtId="2" fontId="8" fillId="2" borderId="0" xfId="0" applyNumberFormat="1" applyFont="1" applyFill="1" applyBorder="1" applyAlignment="1">
      <alignment horizontal="center"/>
    </xf>
    <xf numFmtId="0" fontId="18" fillId="2" borderId="0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shrinkToFit="1"/>
    </xf>
    <xf numFmtId="0" fontId="8" fillId="2" borderId="0" xfId="0" applyFont="1" applyFill="1" applyBorder="1" applyAlignment="1">
      <alignment horizontal="center" shrinkToFit="1"/>
    </xf>
    <xf numFmtId="0" fontId="6" fillId="2" borderId="0" xfId="0" applyFont="1" applyFill="1" applyBorder="1"/>
    <xf numFmtId="0" fontId="17" fillId="2" borderId="0" xfId="0" applyFont="1" applyFill="1" applyBorder="1"/>
    <xf numFmtId="1" fontId="8" fillId="5" borderId="28" xfId="0" applyNumberFormat="1" applyFont="1" applyFill="1" applyBorder="1" applyAlignment="1" applyProtection="1">
      <alignment horizontal="center" shrinkToFit="1"/>
      <protection locked="0"/>
    </xf>
    <xf numFmtId="1" fontId="8" fillId="5" borderId="41" xfId="0" applyNumberFormat="1" applyFont="1" applyFill="1" applyBorder="1" applyAlignment="1" applyProtection="1">
      <alignment horizontal="center" shrinkToFit="1"/>
      <protection locked="0"/>
    </xf>
    <xf numFmtId="1" fontId="25" fillId="5" borderId="28" xfId="0" applyNumberFormat="1" applyFont="1" applyFill="1" applyBorder="1" applyAlignment="1">
      <alignment horizontal="right" shrinkToFit="1"/>
    </xf>
    <xf numFmtId="1" fontId="23" fillId="5" borderId="28" xfId="0" applyNumberFormat="1" applyFont="1" applyFill="1" applyBorder="1" applyAlignment="1">
      <alignment horizontal="right" shrinkToFit="1"/>
    </xf>
    <xf numFmtId="1" fontId="24" fillId="5" borderId="28" xfId="0" applyNumberFormat="1" applyFont="1" applyFill="1" applyBorder="1" applyAlignment="1">
      <alignment horizontal="right" shrinkToFit="1"/>
    </xf>
    <xf numFmtId="0" fontId="3" fillId="2" borderId="0" xfId="0" applyFont="1" applyFill="1" applyBorder="1" applyAlignment="1">
      <alignment horizontal="center"/>
    </xf>
    <xf numFmtId="0" fontId="3" fillId="2" borderId="39" xfId="0" applyFont="1" applyFill="1" applyBorder="1" applyAlignment="1">
      <alignment horizontal="center"/>
    </xf>
    <xf numFmtId="1" fontId="25" fillId="6" borderId="8" xfId="0" applyNumberFormat="1" applyFont="1" applyFill="1" applyBorder="1" applyAlignment="1">
      <alignment horizontal="right" shrinkToFit="1"/>
    </xf>
    <xf numFmtId="1" fontId="8" fillId="6" borderId="8" xfId="0" applyNumberFormat="1" applyFont="1" applyFill="1" applyBorder="1" applyAlignment="1" applyProtection="1">
      <alignment horizontal="center" shrinkToFit="1"/>
      <protection locked="0"/>
    </xf>
    <xf numFmtId="1" fontId="23" fillId="6" borderId="8" xfId="0" applyNumberFormat="1" applyFont="1" applyFill="1" applyBorder="1" applyAlignment="1">
      <alignment horizontal="right" shrinkToFit="1"/>
    </xf>
    <xf numFmtId="1" fontId="24" fillId="6" borderId="8" xfId="0" applyNumberFormat="1" applyFont="1" applyFill="1" applyBorder="1" applyAlignment="1">
      <alignment horizontal="right" shrinkToFit="1"/>
    </xf>
    <xf numFmtId="1" fontId="8" fillId="6" borderId="35" xfId="0" applyNumberFormat="1" applyFont="1" applyFill="1" applyBorder="1" applyAlignment="1" applyProtection="1">
      <alignment horizontal="center" shrinkToFit="1"/>
      <protection locked="0"/>
    </xf>
    <xf numFmtId="0" fontId="27" fillId="2" borderId="0" xfId="1" applyFont="1" applyFill="1" applyBorder="1" applyAlignment="1">
      <alignment horizontal="right" vertical="center"/>
    </xf>
    <xf numFmtId="0" fontId="27" fillId="2" borderId="0" xfId="1" applyFont="1" applyFill="1" applyBorder="1" applyAlignment="1">
      <alignment horizontal="center" vertical="center"/>
    </xf>
    <xf numFmtId="0" fontId="27" fillId="2" borderId="56" xfId="1" applyFont="1" applyFill="1" applyBorder="1" applyAlignment="1">
      <alignment horizontal="center" vertical="center"/>
    </xf>
    <xf numFmtId="164" fontId="17" fillId="14" borderId="22" xfId="0" applyNumberFormat="1" applyFont="1" applyFill="1" applyBorder="1" applyAlignment="1">
      <alignment vertical="center"/>
    </xf>
    <xf numFmtId="0" fontId="17" fillId="14" borderId="22" xfId="1" applyFont="1" applyFill="1" applyBorder="1" applyAlignment="1">
      <alignment horizontal="right" vertical="center"/>
    </xf>
    <xf numFmtId="0" fontId="7" fillId="7" borderId="4" xfId="1" applyFont="1" applyFill="1" applyBorder="1" applyAlignment="1">
      <alignment horizontal="center" vertical="center"/>
    </xf>
    <xf numFmtId="0" fontId="7" fillId="3" borderId="62" xfId="0" applyFont="1" applyFill="1" applyBorder="1" applyAlignment="1" applyProtection="1">
      <alignment horizontal="center" vertical="center" shrinkToFit="1"/>
    </xf>
    <xf numFmtId="0" fontId="22" fillId="4" borderId="60" xfId="0" applyFont="1" applyFill="1" applyBorder="1" applyAlignment="1">
      <alignment horizontal="center"/>
    </xf>
    <xf numFmtId="0" fontId="18" fillId="12" borderId="63" xfId="0" applyFont="1" applyFill="1" applyBorder="1" applyAlignment="1">
      <alignment horizontal="center" vertical="center"/>
    </xf>
    <xf numFmtId="2" fontId="8" fillId="2" borderId="63" xfId="0" applyNumberFormat="1" applyFont="1" applyFill="1" applyBorder="1" applyAlignment="1">
      <alignment horizontal="center"/>
    </xf>
    <xf numFmtId="164" fontId="27" fillId="2" borderId="0" xfId="1" applyNumberFormat="1" applyFont="1" applyFill="1" applyBorder="1" applyAlignment="1">
      <alignment horizontal="left" vertical="center"/>
    </xf>
    <xf numFmtId="0" fontId="27" fillId="2" borderId="0" xfId="1" applyFont="1" applyFill="1" applyBorder="1" applyAlignment="1">
      <alignment horizontal="right" vertical="center"/>
    </xf>
    <xf numFmtId="0" fontId="8" fillId="6" borderId="34" xfId="0" applyFont="1" applyFill="1" applyBorder="1" applyAlignment="1">
      <alignment horizontal="center" shrinkToFit="1"/>
    </xf>
    <xf numFmtId="0" fontId="8" fillId="6" borderId="8" xfId="0" applyFont="1" applyFill="1" applyBorder="1" applyAlignment="1">
      <alignment horizontal="center" shrinkToFit="1"/>
    </xf>
    <xf numFmtId="0" fontId="27" fillId="2" borderId="0" xfId="1" applyFont="1" applyFill="1" applyBorder="1" applyAlignment="1">
      <alignment horizontal="center" vertical="center"/>
    </xf>
    <xf numFmtId="0" fontId="17" fillId="14" borderId="22" xfId="1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left" shrinkToFit="1"/>
    </xf>
    <xf numFmtId="0" fontId="8" fillId="12" borderId="28" xfId="0" applyFont="1" applyFill="1" applyBorder="1" applyAlignment="1">
      <alignment horizontal="left" shrinkToFit="1"/>
    </xf>
    <xf numFmtId="0" fontId="8" fillId="12" borderId="29" xfId="0" applyFont="1" applyFill="1" applyBorder="1" applyAlignment="1">
      <alignment horizontal="left" shrinkToFit="1"/>
    </xf>
    <xf numFmtId="0" fontId="29" fillId="5" borderId="34" xfId="0" applyFont="1" applyFill="1" applyBorder="1" applyAlignment="1">
      <alignment horizontal="center" vertical="center" shrinkToFit="1"/>
    </xf>
    <xf numFmtId="0" fontId="29" fillId="5" borderId="8" xfId="0" applyFont="1" applyFill="1" applyBorder="1" applyAlignment="1">
      <alignment horizontal="center" vertical="center" shrinkToFit="1"/>
    </xf>
    <xf numFmtId="0" fontId="29" fillId="5" borderId="35" xfId="0" applyFont="1" applyFill="1" applyBorder="1" applyAlignment="1">
      <alignment horizontal="center" vertical="center" shrinkToFit="1"/>
    </xf>
    <xf numFmtId="0" fontId="29" fillId="5" borderId="21" xfId="0" applyFont="1" applyFill="1" applyBorder="1" applyAlignment="1">
      <alignment horizontal="center" vertical="center" shrinkToFit="1"/>
    </xf>
    <xf numFmtId="0" fontId="29" fillId="5" borderId="22" xfId="0" applyFont="1" applyFill="1" applyBorder="1" applyAlignment="1">
      <alignment horizontal="center" vertical="center" shrinkToFit="1"/>
    </xf>
    <xf numFmtId="0" fontId="29" fillId="5" borderId="23" xfId="0" applyFont="1" applyFill="1" applyBorder="1" applyAlignment="1">
      <alignment horizontal="center" vertical="center" shrinkToFit="1"/>
    </xf>
    <xf numFmtId="0" fontId="8" fillId="13" borderId="13" xfId="0" applyFont="1" applyFill="1" applyBorder="1" applyAlignment="1">
      <alignment horizontal="center"/>
    </xf>
    <xf numFmtId="0" fontId="8" fillId="13" borderId="49" xfId="0" applyFont="1" applyFill="1" applyBorder="1" applyAlignment="1">
      <alignment horizontal="center"/>
    </xf>
    <xf numFmtId="0" fontId="17" fillId="14" borderId="22" xfId="1" applyFont="1" applyFill="1" applyBorder="1" applyAlignment="1">
      <alignment horizontal="right" vertical="center"/>
    </xf>
    <xf numFmtId="164" fontId="17" fillId="14" borderId="22" xfId="0" applyNumberFormat="1" applyFont="1" applyFill="1" applyBorder="1" applyAlignment="1">
      <alignment horizontal="left" vertical="center"/>
    </xf>
    <xf numFmtId="0" fontId="17" fillId="14" borderId="21" xfId="1" applyFont="1" applyFill="1" applyBorder="1" applyAlignment="1">
      <alignment horizontal="center" vertical="center"/>
    </xf>
    <xf numFmtId="0" fontId="7" fillId="7" borderId="4" xfId="1" applyFont="1" applyFill="1" applyBorder="1" applyAlignment="1">
      <alignment horizontal="center" vertical="center"/>
    </xf>
    <xf numFmtId="0" fontId="7" fillId="7" borderId="6" xfId="1" applyFont="1" applyFill="1" applyBorder="1" applyAlignment="1">
      <alignment horizontal="center" vertical="center"/>
    </xf>
    <xf numFmtId="2" fontId="9" fillId="9" borderId="34" xfId="0" applyNumberFormat="1" applyFont="1" applyFill="1" applyBorder="1" applyAlignment="1">
      <alignment horizontal="center" vertical="center" shrinkToFit="1"/>
    </xf>
    <xf numFmtId="2" fontId="9" fillId="9" borderId="65" xfId="0" applyNumberFormat="1" applyFont="1" applyFill="1" applyBorder="1" applyAlignment="1">
      <alignment horizontal="center" vertical="center" shrinkToFit="1"/>
    </xf>
    <xf numFmtId="166" fontId="10" fillId="10" borderId="3" xfId="0" applyNumberFormat="1" applyFont="1" applyFill="1" applyBorder="1" applyAlignment="1">
      <alignment horizontal="center" vertical="center" shrinkToFit="1"/>
    </xf>
    <xf numFmtId="166" fontId="10" fillId="10" borderId="0" xfId="0" applyNumberFormat="1" applyFont="1" applyFill="1" applyBorder="1" applyAlignment="1">
      <alignment horizontal="center" vertical="center" shrinkToFit="1"/>
    </xf>
    <xf numFmtId="0" fontId="8" fillId="5" borderId="26" xfId="0" applyFont="1" applyFill="1" applyBorder="1" applyAlignment="1">
      <alignment horizontal="center" shrinkToFit="1"/>
    </xf>
    <xf numFmtId="0" fontId="8" fillId="5" borderId="28" xfId="0" applyFont="1" applyFill="1" applyBorder="1" applyAlignment="1">
      <alignment horizontal="center" shrinkToFit="1"/>
    </xf>
    <xf numFmtId="2" fontId="12" fillId="5" borderId="30" xfId="0" applyNumberFormat="1" applyFont="1" applyFill="1" applyBorder="1" applyAlignment="1">
      <alignment horizontal="center" vertical="center"/>
    </xf>
    <xf numFmtId="2" fontId="12" fillId="5" borderId="31" xfId="0" applyNumberFormat="1" applyFont="1" applyFill="1" applyBorder="1" applyAlignment="1">
      <alignment horizontal="center" vertical="center"/>
    </xf>
    <xf numFmtId="2" fontId="12" fillId="5" borderId="32" xfId="0" applyNumberFormat="1" applyFont="1" applyFill="1" applyBorder="1" applyAlignment="1">
      <alignment horizontal="center" vertical="center"/>
    </xf>
    <xf numFmtId="164" fontId="17" fillId="14" borderId="46" xfId="0" applyNumberFormat="1" applyFont="1" applyFill="1" applyBorder="1" applyAlignment="1">
      <alignment horizontal="left" vertical="center"/>
    </xf>
    <xf numFmtId="164" fontId="17" fillId="14" borderId="22" xfId="1" applyNumberFormat="1" applyFont="1" applyFill="1" applyBorder="1" applyAlignment="1">
      <alignment horizontal="left" vertical="center"/>
    </xf>
    <xf numFmtId="164" fontId="17" fillId="14" borderId="22" xfId="0" applyNumberFormat="1" applyFont="1" applyFill="1" applyBorder="1" applyAlignment="1">
      <alignment horizontal="center" vertical="center"/>
    </xf>
    <xf numFmtId="0" fontId="28" fillId="5" borderId="61" xfId="0" applyFont="1" applyFill="1" applyBorder="1" applyAlignment="1" applyProtection="1">
      <alignment horizontal="center" vertical="center" shrinkToFit="1"/>
    </xf>
    <xf numFmtId="0" fontId="28" fillId="5" borderId="53" xfId="0" applyFont="1" applyFill="1" applyBorder="1" applyAlignment="1" applyProtection="1">
      <alignment horizontal="center" vertical="center" shrinkToFit="1"/>
    </xf>
    <xf numFmtId="0" fontId="28" fillId="5" borderId="54" xfId="0" applyFont="1" applyFill="1" applyBorder="1" applyAlignment="1" applyProtection="1">
      <alignment horizontal="center" vertical="center" shrinkToFit="1"/>
    </xf>
    <xf numFmtId="0" fontId="28" fillId="5" borderId="42" xfId="0" applyFont="1" applyFill="1" applyBorder="1" applyAlignment="1" applyProtection="1">
      <alignment horizontal="center" vertical="center" shrinkToFit="1"/>
    </xf>
    <xf numFmtId="0" fontId="28" fillId="5" borderId="39" xfId="0" applyFont="1" applyFill="1" applyBorder="1" applyAlignment="1" applyProtection="1">
      <alignment horizontal="center" vertical="center" shrinkToFit="1"/>
    </xf>
    <xf numFmtId="0" fontId="28" fillId="5" borderId="60" xfId="0" applyFont="1" applyFill="1" applyBorder="1" applyAlignment="1" applyProtection="1">
      <alignment horizontal="center" vertical="center" shrinkToFit="1"/>
    </xf>
    <xf numFmtId="0" fontId="28" fillId="5" borderId="52" xfId="0" applyFont="1" applyFill="1" applyBorder="1" applyAlignment="1" applyProtection="1">
      <alignment horizontal="center" vertical="center" shrinkToFit="1"/>
    </xf>
    <xf numFmtId="0" fontId="28" fillId="5" borderId="55" xfId="0" applyFont="1" applyFill="1" applyBorder="1" applyAlignment="1" applyProtection="1">
      <alignment horizontal="center" vertical="center" shrinkToFit="1"/>
    </xf>
    <xf numFmtId="0" fontId="28" fillId="5" borderId="0" xfId="0" applyFont="1" applyFill="1" applyBorder="1" applyAlignment="1" applyProtection="1">
      <alignment horizontal="center" vertical="center" shrinkToFit="1"/>
    </xf>
    <xf numFmtId="1" fontId="9" fillId="9" borderId="8" xfId="0" applyNumberFormat="1" applyFont="1" applyFill="1" applyBorder="1" applyAlignment="1">
      <alignment horizontal="center" vertical="center" shrinkToFit="1"/>
    </xf>
    <xf numFmtId="1" fontId="9" fillId="9" borderId="1" xfId="0" applyNumberFormat="1" applyFont="1" applyFill="1" applyBorder="1" applyAlignment="1">
      <alignment horizontal="center" vertical="center" shrinkToFit="1"/>
    </xf>
    <xf numFmtId="2" fontId="9" fillId="8" borderId="55" xfId="0" applyNumberFormat="1" applyFont="1" applyFill="1" applyBorder="1" applyAlignment="1">
      <alignment horizontal="center" vertical="center" shrinkToFit="1"/>
    </xf>
    <xf numFmtId="2" fontId="9" fillId="8" borderId="64" xfId="0" applyNumberFormat="1" applyFont="1" applyFill="1" applyBorder="1" applyAlignment="1">
      <alignment horizontal="center" vertical="center" shrinkToFit="1"/>
    </xf>
    <xf numFmtId="1" fontId="9" fillId="8" borderId="0" xfId="0" applyNumberFormat="1" applyFont="1" applyFill="1" applyBorder="1" applyAlignment="1">
      <alignment horizontal="center" vertical="center" shrinkToFit="1"/>
    </xf>
    <xf numFmtId="1" fontId="9" fillId="8" borderId="7" xfId="0" applyNumberFormat="1" applyFont="1" applyFill="1" applyBorder="1" applyAlignment="1">
      <alignment horizontal="center" vertical="center" shrinkToFit="1"/>
    </xf>
    <xf numFmtId="166" fontId="8" fillId="2" borderId="10" xfId="0" applyNumberFormat="1" applyFont="1" applyFill="1" applyBorder="1" applyAlignment="1">
      <alignment horizontal="center" shrinkToFit="1"/>
    </xf>
    <xf numFmtId="166" fontId="19" fillId="2" borderId="10" xfId="0" applyNumberFormat="1" applyFont="1" applyFill="1" applyBorder="1" applyAlignment="1">
      <alignment shrinkToFit="1"/>
    </xf>
    <xf numFmtId="166" fontId="8" fillId="2" borderId="11" xfId="0" applyNumberFormat="1" applyFont="1" applyFill="1" applyBorder="1" applyAlignment="1">
      <alignment horizontal="center" shrinkToFit="1"/>
    </xf>
    <xf numFmtId="166" fontId="19" fillId="2" borderId="11" xfId="0" applyNumberFormat="1" applyFont="1" applyFill="1" applyBorder="1" applyAlignment="1">
      <alignment shrinkToFit="1"/>
    </xf>
    <xf numFmtId="166" fontId="20" fillId="3" borderId="10" xfId="0" applyNumberFormat="1" applyFont="1" applyFill="1" applyBorder="1" applyAlignment="1">
      <alignment horizontal="center" vertical="center" shrinkToFit="1"/>
    </xf>
    <xf numFmtId="166" fontId="20" fillId="3" borderId="10" xfId="0" applyNumberFormat="1" applyFont="1" applyFill="1" applyBorder="1" applyAlignment="1">
      <alignment horizontal="center" vertical="center"/>
    </xf>
    <xf numFmtId="166" fontId="21" fillId="3" borderId="10" xfId="0" applyNumberFormat="1" applyFont="1" applyFill="1" applyBorder="1" applyAlignment="1">
      <alignment horizontal="center" vertical="center"/>
    </xf>
    <xf numFmtId="166" fontId="21" fillId="3" borderId="27" xfId="0" applyNumberFormat="1" applyFont="1" applyFill="1" applyBorder="1" applyAlignment="1">
      <alignment horizontal="center" vertical="center"/>
    </xf>
    <xf numFmtId="166" fontId="8" fillId="3" borderId="12" xfId="0" applyNumberFormat="1" applyFont="1" applyFill="1" applyBorder="1" applyAlignment="1">
      <alignment horizontal="center"/>
    </xf>
    <xf numFmtId="166" fontId="8" fillId="3" borderId="43" xfId="0" applyNumberFormat="1" applyFont="1" applyFill="1" applyBorder="1" applyAlignment="1">
      <alignment horizontal="center"/>
    </xf>
    <xf numFmtId="0" fontId="26" fillId="2" borderId="57" xfId="0" applyFont="1" applyFill="1" applyBorder="1" applyAlignment="1">
      <alignment horizontal="center" vertical="center" shrinkToFit="1"/>
    </xf>
    <xf numFmtId="0" fontId="26" fillId="2" borderId="48" xfId="0" applyFont="1" applyFill="1" applyBorder="1" applyAlignment="1">
      <alignment horizontal="center" vertical="center" shrinkToFit="1"/>
    </xf>
    <xf numFmtId="0" fontId="26" fillId="2" borderId="58" xfId="0" applyFont="1" applyFill="1" applyBorder="1" applyAlignment="1">
      <alignment horizontal="center" vertical="center" shrinkToFit="1"/>
    </xf>
    <xf numFmtId="0" fontId="19" fillId="2" borderId="55" xfId="0" applyFont="1" applyFill="1" applyBorder="1" applyAlignment="1">
      <alignment horizontal="center"/>
    </xf>
    <xf numFmtId="2" fontId="19" fillId="2" borderId="0" xfId="0" applyNumberFormat="1" applyFont="1" applyFill="1" applyBorder="1" applyAlignment="1">
      <alignment horizontal="center"/>
    </xf>
    <xf numFmtId="2" fontId="19" fillId="2" borderId="56" xfId="0" applyNumberFormat="1" applyFont="1" applyFill="1" applyBorder="1" applyAlignment="1">
      <alignment horizontal="center"/>
    </xf>
    <xf numFmtId="0" fontId="3" fillId="2" borderId="55" xfId="0" applyFont="1" applyFill="1" applyBorder="1" applyAlignment="1">
      <alignment horizontal="center" shrinkToFit="1"/>
    </xf>
    <xf numFmtId="0" fontId="3" fillId="2" borderId="0" xfId="0" applyFont="1" applyFill="1" applyBorder="1" applyAlignment="1">
      <alignment horizontal="center" shrinkToFit="1"/>
    </xf>
    <xf numFmtId="0" fontId="3" fillId="2" borderId="56" xfId="0" applyFont="1" applyFill="1" applyBorder="1" applyAlignment="1">
      <alignment horizontal="center" shrinkToFit="1"/>
    </xf>
    <xf numFmtId="2" fontId="3" fillId="2" borderId="56" xfId="0" applyNumberFormat="1" applyFont="1" applyFill="1" applyBorder="1" applyAlignment="1">
      <alignment horizontal="center"/>
    </xf>
    <xf numFmtId="2" fontId="3" fillId="2" borderId="59" xfId="0" applyNumberFormat="1" applyFont="1" applyFill="1" applyBorder="1" applyAlignment="1">
      <alignment horizontal="center"/>
    </xf>
    <xf numFmtId="2" fontId="3" fillId="2" borderId="39" xfId="0" applyNumberFormat="1" applyFont="1" applyFill="1" applyBorder="1" applyAlignment="1">
      <alignment horizontal="right"/>
    </xf>
    <xf numFmtId="0" fontId="3" fillId="2" borderId="60" xfId="0" applyFont="1" applyFill="1" applyBorder="1"/>
    <xf numFmtId="166" fontId="11" fillId="11" borderId="3" xfId="0" applyNumberFormat="1" applyFont="1" applyFill="1" applyBorder="1" applyAlignment="1">
      <alignment horizontal="center" vertical="center"/>
    </xf>
    <xf numFmtId="166" fontId="11" fillId="11" borderId="0" xfId="0" applyNumberFormat="1" applyFont="1" applyFill="1" applyBorder="1" applyAlignment="1">
      <alignment horizontal="center" vertical="center"/>
    </xf>
    <xf numFmtId="166" fontId="11" fillId="11" borderId="2" xfId="0" applyNumberFormat="1" applyFont="1" applyFill="1" applyBorder="1" applyAlignment="1">
      <alignment horizontal="center" vertical="center"/>
    </xf>
    <xf numFmtId="166" fontId="11" fillId="11" borderId="1" xfId="0" applyNumberFormat="1" applyFont="1" applyFill="1" applyBorder="1" applyAlignment="1">
      <alignment horizontal="center" vertical="center"/>
    </xf>
    <xf numFmtId="166" fontId="9" fillId="8" borderId="0" xfId="0" applyNumberFormat="1" applyFont="1" applyFill="1" applyBorder="1" applyAlignment="1">
      <alignment horizontal="center" vertical="center" shrinkToFit="1"/>
    </xf>
    <xf numFmtId="166" fontId="9" fillId="8" borderId="5" xfId="0" applyNumberFormat="1" applyFont="1" applyFill="1" applyBorder="1" applyAlignment="1">
      <alignment horizontal="center" vertical="center" shrinkToFit="1"/>
    </xf>
    <xf numFmtId="166" fontId="9" fillId="8" borderId="7" xfId="0" applyNumberFormat="1" applyFont="1" applyFill="1" applyBorder="1" applyAlignment="1">
      <alignment horizontal="center" vertical="center" shrinkToFit="1"/>
    </xf>
    <xf numFmtId="166" fontId="9" fillId="8" borderId="9" xfId="0" applyNumberFormat="1" applyFont="1" applyFill="1" applyBorder="1" applyAlignment="1">
      <alignment horizontal="center" vertical="center" shrinkToFit="1"/>
    </xf>
    <xf numFmtId="166" fontId="9" fillId="9" borderId="8" xfId="0" applyNumberFormat="1" applyFont="1" applyFill="1" applyBorder="1" applyAlignment="1">
      <alignment horizontal="center" vertical="center" shrinkToFit="1"/>
    </xf>
    <xf numFmtId="166" fontId="9" fillId="9" borderId="1" xfId="0" applyNumberFormat="1" applyFont="1" applyFill="1" applyBorder="1" applyAlignment="1">
      <alignment horizontal="center" vertical="center" shrinkToFit="1"/>
    </xf>
    <xf numFmtId="0" fontId="0" fillId="2" borderId="0" xfId="0" applyFont="1" applyFill="1" applyAlignment="1">
      <alignment horizontal="center"/>
    </xf>
    <xf numFmtId="0" fontId="0" fillId="2" borderId="0" xfId="0" applyFont="1" applyFill="1"/>
    <xf numFmtId="0" fontId="5" fillId="2" borderId="0" xfId="0" applyFont="1" applyFill="1"/>
    <xf numFmtId="2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/>
    <xf numFmtId="2" fontId="0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right"/>
    </xf>
    <xf numFmtId="2" fontId="0" fillId="2" borderId="0" xfId="0" applyNumberFormat="1" applyFont="1" applyFill="1"/>
    <xf numFmtId="0" fontId="0" fillId="2" borderId="0" xfId="0" applyFont="1" applyFill="1" applyAlignment="1">
      <alignment horizontal="right"/>
    </xf>
  </cellXfs>
  <cellStyles count="4">
    <cellStyle name="Normal" xfId="0" builtinId="0"/>
    <cellStyle name="Normal 2" xfId="1"/>
    <cellStyle name="Normal 2 2" xfId="2"/>
    <cellStyle name="Normal 2 3" xfId="3"/>
  </cellStyles>
  <dxfs count="1">
    <dxf>
      <font>
        <color rgb="FFFF0000"/>
      </font>
    </dxf>
  </dxfs>
  <tableStyles count="0" defaultTableStyle="TableStyleMedium2" defaultPivotStyle="PivotStyleLight16"/>
  <colors>
    <mruColors>
      <color rgb="FF7D0000"/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-8.9999999999999998E-4</v>
        <stp/>
        <stp>StudyData</stp>
        <stp>Consolidate(RBES1?3-RBES1?4,5X,RBES1?3-RBES1?4,1,0)</stp>
        <stp>Bar</stp>
        <stp/>
        <stp>Close</stp>
        <stp>D</stp>
        <stp>-1</stp>
        <stp/>
        <stp/>
        <stp/>
        <stp/>
        <stp>T</stp>
        <tr r="U36" s="6"/>
        <tr r="I46" s="2"/>
      </tp>
      <tp>
        <v>-1.34E-2</v>
        <stp/>
        <stp>StudyData</stp>
        <stp>Consolidate(RBES1?1-RBES1?2,5X,RBES1?1-RBES1?2,1,0)</stp>
        <stp>Bar</stp>
        <stp/>
        <stp>Close</stp>
        <stp>D</stp>
        <stp>-1</stp>
        <stp/>
        <stp/>
        <stp/>
        <stp/>
        <stp>T</stp>
        <tr r="U34" s="6"/>
        <tr r="I44" s="2"/>
      </tp>
      <tp>
        <v>-0.1055</v>
        <stp/>
        <stp>StudyData</stp>
        <stp>Consolidate(RBES1?5-RBES1?6,5X,RBES1?5-RBES1?6,1,0)</stp>
        <stp>Bar</stp>
        <stp/>
        <stp>Close</stp>
        <stp>D</stp>
        <stp>-1</stp>
        <stp/>
        <stp/>
        <stp/>
        <stp/>
        <stp>T</stp>
        <tr r="U38" s="6"/>
        <tr r="I48" s="2"/>
      </tp>
      <tp>
        <v>2</v>
        <stp/>
        <stp>ContractData</stp>
        <stp>RBEJ5</stp>
        <stp>MT_LastAskVolume</stp>
        <tr r="C7" s="2"/>
      </tp>
      <tp>
        <v>-1.1999999999999999E-3</v>
        <stp/>
        <stp>StudyData</stp>
        <stp>Consolidate(RBES1?2-RBES1?3,5X,RBES1?2-RBES1?3,1,0)</stp>
        <stp>Bar</stp>
        <stp/>
        <stp>Close</stp>
        <stp>D</stp>
        <stp>-1</stp>
        <stp/>
        <stp/>
        <stp/>
        <stp/>
        <stp>T</stp>
        <tr r="U35" s="6"/>
        <tr r="I45" s="2"/>
      </tp>
      <tp>
        <v>-4.7999999999999996E-3</v>
        <stp/>
        <stp>StudyData</stp>
        <stp>Consolidate(RBES1?4-RBES1?5,5X,RBES1?4-RBES1?5,1,0)</stp>
        <stp>Bar</stp>
        <stp/>
        <stp>Close</stp>
        <stp>D</stp>
        <stp>-1</stp>
        <stp/>
        <stp/>
        <stp/>
        <stp/>
        <stp>T</stp>
        <tr r="U37" s="6"/>
        <tr r="I47" s="2"/>
      </tp>
      <tp>
        <v>9.9599999999999994E-2</v>
        <stp/>
        <stp>StudyData</stp>
        <stp>Consolidate(RBES1?6-RBES1?7,5X,RBES1?6-RBES1?7,1,0)</stp>
        <stp>Bar</stp>
        <stp/>
        <stp>Close</stp>
        <stp>D</stp>
        <stp>-1</stp>
        <stp/>
        <stp/>
        <stp/>
        <stp/>
        <stp>T</stp>
        <tr r="U39" s="6"/>
        <tr r="I49" s="2"/>
      </tp>
      <tp>
        <v>2.1399999999999999E-2</v>
        <stp/>
        <stp>StudyData</stp>
        <stp>Consolidate(RBES1?8-RBES1?9,5X,RBES1?8-RBES1?9,1,0)</stp>
        <stp>Bar</stp>
        <stp/>
        <stp>Close</stp>
        <stp>D</stp>
        <stp>-1</stp>
        <stp/>
        <stp/>
        <stp/>
        <stp/>
        <stp>T</stp>
        <tr r="U41" s="6"/>
        <tr r="I51" s="2"/>
      </tp>
      <tp t="s">
        <v/>
        <stp/>
        <stp>ContractData</stp>
        <stp>RBES1G</stp>
        <stp>LastTradeorSettle</stp>
        <stp/>
        <stp>T</stp>
        <tr r="W12" s="6"/>
      </tp>
      <tp>
        <v>-1.7400000000000002E-2</v>
        <stp/>
        <stp>ContractData</stp>
        <stp>RBES1F</stp>
        <stp>LastTradeorSettle</stp>
        <stp/>
        <stp>T</stp>
        <tr r="W11" s="6"/>
      </tp>
      <tp>
        <v>1.6900000000000002E-2</v>
        <stp/>
        <stp>ContractData</stp>
        <stp>RBES1N</stp>
        <stp>LastTradeorSettle</stp>
        <stp/>
        <stp>T</stp>
        <tr r="W5" s="6"/>
      </tp>
      <tp>
        <v>1.4E-2</v>
        <stp/>
        <stp>ContractData</stp>
        <stp>RBES1M</stp>
        <stp>LastTradeorSettle</stp>
        <stp/>
        <stp>T</stp>
        <tr r="W4" s="6"/>
      </tp>
      <tp>
        <v>1.0500000000000001E-2</v>
        <stp/>
        <stp>ContractData</stp>
        <stp>RBES1K</stp>
        <stp>LastTradeorSettle</stp>
        <stp/>
        <stp>T</stp>
        <tr r="W3" s="6"/>
      </tp>
      <tp>
        <v>-3.5000000000000001E-3</v>
        <stp/>
        <stp>ContractData</stp>
        <stp>RBES1J</stp>
        <stp>LastTradeorSettle</stp>
        <stp/>
        <stp>T</stp>
        <tr r="W2" s="6"/>
      </tp>
      <tp>
        <v>-0.2</v>
        <stp/>
        <stp>ContractData</stp>
        <stp>RBES1H</stp>
        <stp>LastTradeorSettle</stp>
        <stp/>
        <stp>T</stp>
        <tr r="W13" s="6"/>
      </tp>
      <tp>
        <v>2.8300000000000002E-2</v>
        <stp/>
        <stp>ContractData</stp>
        <stp>RBES1V</stp>
        <stp>LastTradeorSettle</stp>
        <stp/>
        <stp>T</stp>
        <tr r="W8" s="6"/>
      </tp>
      <tp>
        <v>0.12590000000000001</v>
        <stp/>
        <stp>ContractData</stp>
        <stp>RBES1U</stp>
        <stp>LastTradeorSettle</stp>
        <stp/>
        <stp>T</stp>
        <tr r="W7" s="6"/>
      </tp>
      <tp>
        <v>2.24E-2</v>
        <stp/>
        <stp>ContractData</stp>
        <stp>RBES1Q</stp>
        <stp>LastTradeorSettle</stp>
        <stp/>
        <stp>T</stp>
        <tr r="W6" s="6"/>
      </tp>
      <tp>
        <v>-5.1000000000000004E-3</v>
        <stp/>
        <stp>ContractData</stp>
        <stp>RBES1Z</stp>
        <stp>LastTradeorSettle</stp>
        <stp/>
        <stp>T</stp>
        <tr r="W10" s="6"/>
      </tp>
      <tp>
        <v>1.6199999999999999E-2</v>
        <stp/>
        <stp>ContractData</stp>
        <stp>RBES1X</stp>
        <stp>LastTradeorSettle</stp>
        <stp/>
        <stp>T</stp>
        <tr r="W9" s="6"/>
      </tp>
      <tp>
        <v>-6.9000000000000008E-3</v>
        <stp/>
        <stp>ContractData</stp>
        <stp>F.RBE?12</stp>
        <stp>NetLastQuoteToday</stp>
        <stp/>
        <stp>T</stp>
        <tr r="U13" s="6"/>
      </tp>
      <tp>
        <v>-9.300000000000001E-3</v>
        <stp/>
        <stp>ContractData</stp>
        <stp>F.RBE?11</stp>
        <stp>NetLastQuoteToday</stp>
        <stp/>
        <stp>T</stp>
        <tr r="U12" s="6"/>
      </tp>
      <tp>
        <v>2</v>
        <stp/>
        <stp>ContractData</stp>
        <stp>RBEJ5</stp>
        <stp>MT_LastBidVolume</stp>
        <tr r="C9" s="2"/>
      </tp>
      <tp>
        <v>-1.0800000000000001E-2</v>
        <stp/>
        <stp>ContractData</stp>
        <stp>F.RBE?10</stp>
        <stp>NetLastQuoteToday</stp>
        <stp/>
        <stp>T</stp>
        <tr r="U11" s="6"/>
      </tp>
      <tp>
        <v>1.35E-2</v>
        <stp/>
        <stp>StudyData</stp>
        <stp>Consolidate(RBES1?7-RBES1?8,5X,RBES1?7-RBES1?8,1,0)</stp>
        <stp>Bar</stp>
        <stp/>
        <stp>Close</stp>
        <stp>D</stp>
        <stp>-1</stp>
        <stp/>
        <stp/>
        <stp/>
        <stp/>
        <stp>T</stp>
        <tr r="U40" s="6"/>
        <tr r="I50" s="2"/>
      </tp>
      <tp>
        <v>1.6930000000000001</v>
        <stp/>
        <stp>ContractData</stp>
        <stp>RBEG6</stp>
        <stp>Settlement</stp>
        <stp/>
        <stp>T</stp>
        <tr r="AJ12" s="6"/>
      </tp>
      <tp>
        <v>1.6757000000000002</v>
        <stp/>
        <stp>ContractData</stp>
        <stp>RBEF6</stp>
        <stp>Settlement</stp>
        <stp/>
        <stp>T</stp>
        <tr r="AJ11" s="6"/>
      </tp>
      <tp>
        <v>1.7190000000000001</v>
        <stp/>
        <stp>ContractData</stp>
        <stp>RBEH6</stp>
        <stp>Settlement</stp>
        <stp/>
        <stp>T</stp>
        <tr r="AJ13" s="6"/>
      </tp>
      <tp>
        <v>1.8639000000000001</v>
        <stp/>
        <stp>ContractData</stp>
        <stp>RBEN5</stp>
        <stp>Low</stp>
        <stp/>
        <stp>T</stp>
        <tr r="E16" s="2"/>
      </tp>
      <tp>
        <v>1.8789</v>
        <stp/>
        <stp>ContractData</stp>
        <stp>RBEM5</stp>
        <stp>Low</stp>
        <stp/>
        <stp>T</stp>
        <tr r="E15" s="2"/>
      </tp>
      <tp>
        <v>1.8873000000000002</v>
        <stp/>
        <stp>ContractData</stp>
        <stp>RBEJ5</stp>
        <stp>Low</stp>
        <stp/>
        <stp>T</stp>
        <tr r="E13" s="2"/>
      </tp>
      <tp>
        <v>1.8903000000000001</v>
        <stp/>
        <stp>ContractData</stp>
        <stp>RBEK5</stp>
        <stp>Low</stp>
        <stp/>
        <stp>T</stp>
        <tr r="E14" s="2"/>
      </tp>
      <tp>
        <v>1.6642000000000001</v>
        <stp/>
        <stp>ContractData</stp>
        <stp>RBEF6</stp>
        <stp>Low</stp>
        <stp/>
        <stp>T</stp>
        <tr r="E22" s="2"/>
      </tp>
      <tp t="s">
        <v/>
        <stp/>
        <stp>ContractData</stp>
        <stp>RBEG6</stp>
        <stp>Low</stp>
        <stp/>
        <stp>T</stp>
        <tr r="E23" s="2"/>
      </tp>
      <tp>
        <v>1.655</v>
        <stp/>
        <stp>ContractData</stp>
        <stp>RBEZ5</stp>
        <stp>Low</stp>
        <stp/>
        <stp>T</stp>
        <tr r="E21" s="2"/>
      </tp>
      <tp>
        <v>1.6755</v>
        <stp/>
        <stp>ContractData</stp>
        <stp>RBEX5</stp>
        <stp>Low</stp>
        <stp/>
        <stp>T</stp>
        <tr r="E20" s="2"/>
      </tp>
      <tp>
        <v>1.7014</v>
        <stp/>
        <stp>ContractData</stp>
        <stp>RBEV5</stp>
        <stp>Low</stp>
        <stp/>
        <stp>T</stp>
        <tr r="E19" s="2"/>
      </tp>
      <tp>
        <v>1.8275000000000001</v>
        <stp/>
        <stp>ContractData</stp>
        <stp>RBEU5</stp>
        <stp>Low</stp>
        <stp/>
        <stp>T</stp>
        <tr r="E18" s="2"/>
      </tp>
      <tp>
        <v>1.8469</v>
        <stp/>
        <stp>ContractData</stp>
        <stp>RBEQ5</stp>
        <stp>Low</stp>
        <stp/>
        <stp>T</stp>
        <tr r="E17" s="2"/>
      </tp>
      <tp>
        <v>1.8511000000000002</v>
        <stp/>
        <stp>ContractData</stp>
        <stp>RBEQ5</stp>
        <stp>Ask</stp>
        <stp/>
        <stp>T</stp>
        <tr r="T6" s="6"/>
        <tr r="N8" s="2"/>
      </tp>
      <tp>
        <v>1.7031000000000001</v>
        <stp/>
        <stp>ContractData</stp>
        <stp>RBEV5</stp>
        <stp>Ask</stp>
        <stp/>
        <stp>T</stp>
        <tr r="T8" s="6"/>
        <tr r="P8" s="2"/>
      </tp>
      <tp>
        <v>1.8289000000000002</v>
        <stp/>
        <stp>ContractData</stp>
        <stp>RBEU5</stp>
        <stp>Ask</stp>
        <stp/>
        <stp>T</stp>
        <tr r="T7" s="6"/>
        <tr r="O8" s="2"/>
      </tp>
      <tp>
        <v>1.6598000000000002</v>
        <stp/>
        <stp>ContractData</stp>
        <stp>RBEZ5</stp>
        <stp>Ask</stp>
        <stp/>
        <stp>T</stp>
        <tr r="T10" s="6"/>
        <tr r="R8" s="2"/>
      </tp>
      <tp>
        <v>1.6748000000000001</v>
        <stp/>
        <stp>ContractData</stp>
        <stp>RBEX5</stp>
        <stp>Ask</stp>
        <stp/>
        <stp>T</stp>
        <tr r="T9" s="6"/>
        <tr r="Q8" s="2"/>
      </tp>
      <tp>
        <v>1.6649</v>
        <stp/>
        <stp>ContractData</stp>
        <stp>RBEF6</stp>
        <stp>Ask</stp>
        <stp/>
        <stp>T</stp>
        <tr r="T11" s="6"/>
        <tr r="S8" s="2"/>
      </tp>
      <tp>
        <v>1.6837</v>
        <stp/>
        <stp>ContractData</stp>
        <stp>RBEG6</stp>
        <stp>Ask</stp>
        <stp/>
        <stp>T</stp>
        <tr r="T12" s="6"/>
        <tr r="T8" s="2"/>
      </tp>
      <tp>
        <v>1.8888</v>
        <stp/>
        <stp>ContractData</stp>
        <stp>RBEJ5</stp>
        <stp>Ask</stp>
        <stp/>
        <stp>T</stp>
        <tr r="D7" s="2"/>
        <tr r="T2" s="6"/>
        <tr r="J8" s="2"/>
      </tp>
      <tp>
        <v>1.8923000000000001</v>
        <stp/>
        <stp>ContractData</stp>
        <stp>RBEK5</stp>
        <stp>Ask</stp>
        <stp/>
        <stp>T</stp>
        <tr r="T3" s="6"/>
        <tr r="K8" s="2"/>
      </tp>
      <tp>
        <v>1.7121000000000002</v>
        <stp/>
        <stp>ContractData</stp>
        <stp>RBEH6</stp>
        <stp>Ask</stp>
        <stp/>
        <stp>T</stp>
        <tr r="T13" s="6"/>
        <tr r="U8" s="2"/>
      </tp>
      <tp>
        <v>1.8680000000000001</v>
        <stp/>
        <stp>ContractData</stp>
        <stp>RBEN5</stp>
        <stp>Ask</stp>
        <stp/>
        <stp>T</stp>
        <tr r="T5" s="6"/>
        <tr r="M8" s="2"/>
      </tp>
      <tp>
        <v>1.8819000000000001</v>
        <stp/>
        <stp>ContractData</stp>
        <stp>RBEM5</stp>
        <stp>Ask</stp>
        <stp/>
        <stp>T</stp>
        <tr r="T4" s="6"/>
        <tr r="L8" s="2"/>
      </tp>
      <tp>
        <v>1.7050000000000001</v>
        <stp/>
        <stp>ContractData</stp>
        <stp>RBEH6</stp>
        <stp>Bid</stp>
        <stp/>
        <stp>T</stp>
        <tr r="S13" s="6"/>
        <tr r="U9" s="2"/>
      </tp>
      <tp>
        <v>1.8883000000000001</v>
        <stp/>
        <stp>ContractData</stp>
        <stp>RBEJ5</stp>
        <stp>Bid</stp>
        <stp/>
        <stp>T</stp>
        <tr r="D9" s="2"/>
        <tr r="S2" s="6"/>
        <tr r="J9" s="2"/>
      </tp>
      <tp>
        <v>1.8917000000000002</v>
        <stp/>
        <stp>ContractData</stp>
        <stp>RBEK5</stp>
        <stp>Bid</stp>
        <stp/>
        <stp>T</stp>
        <tr r="S3" s="6"/>
        <tr r="K9" s="2"/>
      </tp>
      <tp>
        <v>1.8812</v>
        <stp/>
        <stp>ContractData</stp>
        <stp>RBEM5</stp>
        <stp>Bid</stp>
        <stp/>
        <stp>T</stp>
        <tr r="S4" s="6"/>
        <tr r="L9" s="2"/>
      </tp>
      <tp>
        <v>1.8671</v>
        <stp/>
        <stp>ContractData</stp>
        <stp>RBEN5</stp>
        <stp>Bid</stp>
        <stp/>
        <stp>T</stp>
        <tr r="S5" s="6"/>
        <tr r="M9" s="2"/>
      </tp>
      <tp>
        <v>1.6628000000000001</v>
        <stp/>
        <stp>ContractData</stp>
        <stp>RBEF6</stp>
        <stp>Bid</stp>
        <stp/>
        <stp>T</stp>
        <tr r="S11" s="6"/>
        <tr r="S9" s="2"/>
      </tp>
      <tp>
        <v>1.6793</v>
        <stp/>
        <stp>ContractData</stp>
        <stp>RBEG6</stp>
        <stp>Bid</stp>
        <stp/>
        <stp>T</stp>
        <tr r="S12" s="6"/>
        <tr r="T9" s="2"/>
      </tp>
      <tp>
        <v>1.6737000000000002</v>
        <stp/>
        <stp>ContractData</stp>
        <stp>RBEX5</stp>
        <stp>Bid</stp>
        <stp/>
        <stp>T</stp>
        <tr r="S9" s="6"/>
        <tr r="Q9" s="2"/>
      </tp>
      <tp>
        <v>1.6578000000000002</v>
        <stp/>
        <stp>ContractData</stp>
        <stp>RBEZ5</stp>
        <stp>Bid</stp>
        <stp/>
        <stp>T</stp>
        <tr r="S10" s="6"/>
        <tr r="R9" s="2"/>
      </tp>
      <tp>
        <v>1.8502000000000001</v>
        <stp/>
        <stp>ContractData</stp>
        <stp>RBEQ5</stp>
        <stp>Bid</stp>
        <stp/>
        <stp>T</stp>
        <tr r="S6" s="6"/>
        <tr r="N9" s="2"/>
      </tp>
      <tp>
        <v>1.8278000000000001</v>
        <stp/>
        <stp>ContractData</stp>
        <stp>RBEU5</stp>
        <stp>Bid</stp>
        <stp/>
        <stp>T</stp>
        <tr r="S7" s="6"/>
        <tr r="O9" s="2"/>
      </tp>
      <tp>
        <v>1.7018</v>
        <stp/>
        <stp>ContractData</stp>
        <stp>RBEV5</stp>
        <stp>Bid</stp>
        <stp/>
        <stp>T</stp>
        <tr r="S8" s="6"/>
        <tr r="P9" s="2"/>
      </tp>
      <tp>
        <v>1.9219000000000002</v>
        <stp/>
        <stp>ContractData</stp>
        <stp>RBEK5</stp>
        <stp>Settlement</stp>
        <stp/>
        <stp>T</stp>
        <tr r="AJ3" s="6"/>
      </tp>
      <tp>
        <v>1.9257000000000002</v>
        <stp/>
        <stp>ContractData</stp>
        <stp>RBEJ5</stp>
        <stp>Settlement</stp>
        <stp/>
        <stp>T</stp>
        <tr r="AJ2" s="6"/>
      </tp>
      <tp>
        <v>1.9049</v>
        <stp/>
        <stp>ContractData</stp>
        <stp>RBEM5</stp>
        <stp>Settlement</stp>
        <stp/>
        <stp>T</stp>
        <tr r="AJ4" s="6"/>
      </tp>
      <tp>
        <v>1.8874000000000002</v>
        <stp/>
        <stp>ContractData</stp>
        <stp>RBEN5</stp>
        <stp>Settlement</stp>
        <stp/>
        <stp>T</stp>
        <tr r="AJ5" s="6"/>
      </tp>
      <tp>
        <v>1.869</v>
        <stp/>
        <stp>ContractData</stp>
        <stp>RBEQ5</stp>
        <stp>Settlement</stp>
        <stp/>
        <stp>T</stp>
        <tr r="AJ6" s="6"/>
      </tp>
      <tp>
        <v>1.8455000000000001</v>
        <stp/>
        <stp>ContractData</stp>
        <stp>RBEU5</stp>
        <stp>Settlement</stp>
        <stp/>
        <stp>T</stp>
        <tr r="AJ7" s="6"/>
      </tp>
      <tp>
        <v>1.7167000000000001</v>
        <stp/>
        <stp>ContractData</stp>
        <stp>RBEV5</stp>
        <stp>Settlement</stp>
        <stp/>
        <stp>T</stp>
        <tr r="AJ8" s="6"/>
      </tp>
      <tp>
        <v>1.6871</v>
        <stp/>
        <stp>ContractData</stp>
        <stp>RBEX5</stp>
        <stp>Settlement</stp>
        <stp/>
        <stp>T</stp>
        <tr r="AJ9" s="6"/>
      </tp>
      <tp>
        <v>1.6706000000000001</v>
        <stp/>
        <stp>ContractData</stp>
        <stp>RBEZ5</stp>
        <stp>Settlement</stp>
        <stp/>
        <stp>T</stp>
        <tr r="AJ10" s="6"/>
      </tp>
      <tp>
        <v>8.3000000000000001E-3</v>
        <stp/>
        <stp>StudyData</stp>
        <stp>Consolidate(RBES1?10-RBES1?11,5X,RBES1?10-RBES1?11,1,0)</stp>
        <stp>Bar</stp>
        <stp/>
        <stp>Low</stp>
        <stp>D</stp>
        <stp/>
        <stp/>
        <stp/>
        <stp/>
        <stp/>
        <stp>T</stp>
        <tr r="G53" s="2"/>
      </tp>
      <tp>
        <v>-1.4E-3</v>
        <stp/>
        <stp>ContractData</stp>
        <stp>RBES1G</stp>
        <stp>NetLastQuoteToday</stp>
        <stp/>
        <stp>T</stp>
        <tr r="X12" s="6"/>
      </tp>
      <tp>
        <v>-1.5E-3</v>
        <stp/>
        <stp>ContractData</stp>
        <stp>RBES1F</stp>
        <stp>NetLastQuoteToday</stp>
        <stp/>
        <stp>T</stp>
        <tr r="X11" s="6"/>
      </tp>
      <tp>
        <v>-6.5000000000000006E-3</v>
        <stp/>
        <stp>ContractData</stp>
        <stp>RBES1K</stp>
        <stp>NetLastQuoteToday</stp>
        <stp/>
        <stp>T</stp>
        <tr r="X3" s="6"/>
      </tp>
      <tp>
        <v>-7.3000000000000001E-3</v>
        <stp/>
        <stp>ContractData</stp>
        <stp>RBES1J</stp>
        <stp>NetLastQuoteToday</stp>
        <stp/>
        <stp>T</stp>
        <tr r="X2" s="6"/>
      </tp>
      <tp>
        <v>-6.9999999999999999E-4</v>
        <stp/>
        <stp>ContractData</stp>
        <stp>RBES1H</stp>
        <stp>NetLastQuoteToday</stp>
        <stp/>
        <stp>T</stp>
        <tr r="X13" s="6"/>
      </tp>
      <tp>
        <v>-1.5E-3</v>
        <stp/>
        <stp>ContractData</stp>
        <stp>RBES1N</stp>
        <stp>NetLastQuoteToday</stp>
        <stp/>
        <stp>T</stp>
        <tr r="X5" s="6"/>
      </tp>
      <tp>
        <v>-3.5000000000000001E-3</v>
        <stp/>
        <stp>ContractData</stp>
        <stp>RBES1M</stp>
        <stp>NetLastQuoteToday</stp>
        <stp/>
        <stp>T</stp>
        <tr r="X4" s="6"/>
      </tp>
      <tp>
        <v>-1.1000000000000001E-3</v>
        <stp/>
        <stp>ContractData</stp>
        <stp>RBES1Q</stp>
        <stp>NetLastQuoteToday</stp>
        <stp/>
        <stp>T</stp>
        <tr r="X6" s="6"/>
      </tp>
      <tp>
        <v>-1.3000000000000002E-3</v>
        <stp/>
        <stp>ContractData</stp>
        <stp>RBES1V</stp>
        <stp>NetLastQuoteToday</stp>
        <stp/>
        <stp>T</stp>
        <tr r="X8" s="6"/>
      </tp>
      <tp>
        <v>-2.9000000000000002E-3</v>
        <stp/>
        <stp>ContractData</stp>
        <stp>RBES1U</stp>
        <stp>NetLastQuoteToday</stp>
        <stp/>
        <stp>T</stp>
        <tr r="X7" s="6"/>
      </tp>
      <tp>
        <v>1E-4</v>
        <stp/>
        <stp>ContractData</stp>
        <stp>RBES1Z</stp>
        <stp>NetLastQuoteToday</stp>
        <stp/>
        <stp>T</stp>
        <tr r="X10" s="6"/>
      </tp>
      <tp>
        <v>-3.0000000000000003E-4</v>
        <stp/>
        <stp>ContractData</stp>
        <stp>RBES1X</stp>
        <stp>NetLastQuoteToday</stp>
        <stp/>
        <stp>T</stp>
        <tr r="X9" s="6"/>
      </tp>
      <tp t="s">
        <v>RBOB Gasoline (Globex) Cal Spread 1, Nov 15, Dec 15</v>
        <stp/>
        <stp>ContractData</stp>
        <stp>RBES1?8</stp>
        <stp>LongDescription</stp>
        <tr r="B50" s="2"/>
        <tr r="B51" s="2"/>
      </tp>
      <tp t="s">
        <v>RBOB Gasoline (Globex) Cal Spread 1, Dec 15, Jan 16</v>
        <stp/>
        <stp>ContractData</stp>
        <stp>RBES1?9</stp>
        <stp>LongDescription</stp>
        <tr r="B52" s="2"/>
        <tr r="B51" s="2"/>
      </tp>
      <tp t="s">
        <v>RBOB Gasoline (Globex) Cal Spread 1, May 15, Jun 15</v>
        <stp/>
        <stp>ContractData</stp>
        <stp>RBES1?2</stp>
        <stp>LongDescription</stp>
        <tr r="B44" s="2"/>
        <tr r="B45" s="2"/>
      </tp>
      <tp t="s">
        <v>RBOB Gasoline (Globex) Cal Spread 1, Jun 15, Jul 15</v>
        <stp/>
        <stp>ContractData</stp>
        <stp>RBES1?3</stp>
        <stp>LongDescription</stp>
        <tr r="B46" s="2"/>
        <tr r="B45" s="2"/>
      </tp>
      <tp t="s">
        <v>RBOB Gasoline (Globex) Cal Spread 1, Apr 15, May 15</v>
        <stp/>
        <stp>ContractData</stp>
        <stp>RBES1?1</stp>
        <stp>LongDescription</stp>
        <tr r="B44" s="2"/>
      </tp>
      <tp t="s">
        <v>RBOB Gasoline (Globex) Cal Spread 1, Sep 15, Oct 15</v>
        <stp/>
        <stp>ContractData</stp>
        <stp>RBES1?6</stp>
        <stp>LongDescription</stp>
        <tr r="B48" s="2"/>
        <tr r="B49" s="2"/>
      </tp>
      <tp t="s">
        <v>RBOB Gasoline (Globex) Cal Spread 1, Oct 15, Nov 15</v>
        <stp/>
        <stp>ContractData</stp>
        <stp>RBES1?7</stp>
        <stp>LongDescription</stp>
        <tr r="B50" s="2"/>
        <tr r="B49" s="2"/>
      </tp>
      <tp t="s">
        <v>RBOB Gasoline (Globex) Cal Spread 1, Jul 15, Aug 15</v>
        <stp/>
        <stp>ContractData</stp>
        <stp>RBES1?4</stp>
        <stp>LongDescription</stp>
        <tr r="B46" s="2"/>
        <tr r="B47" s="2"/>
      </tp>
      <tp t="s">
        <v>RBOB Gasoline (Globex) Cal Spread 1, Aug 15, Sep 15</v>
        <stp/>
        <stp>ContractData</stp>
        <stp>RBES1?5</stp>
        <stp>LongDescription</stp>
        <tr r="B48" s="2"/>
        <tr r="B47" s="2"/>
      </tp>
      <tp t="s">
        <v>RBOB Gasoline (Globex) Cal Spread 1, Dec 15, Jan 16</v>
        <stp/>
        <stp>ContractData</stp>
        <stp>RBES1Z5</stp>
        <stp>LongDescription</stp>
        <tr r="B36" s="2"/>
      </tp>
      <tp t="s">
        <v>RBOB Gasoline (Globex) Cal Spread 1, Nov 15, Dec 15</v>
        <stp/>
        <stp>ContractData</stp>
        <stp>RBES1X5</stp>
        <stp>LongDescription</stp>
        <tr r="B35" s="2"/>
      </tp>
      <tp t="s">
        <v>RBOB Gasoline (Globex) Cal Spread 1, Oct 15, Nov 15</v>
        <stp/>
        <stp>ContractData</stp>
        <stp>RBES1V5</stp>
        <stp>LongDescription</stp>
        <tr r="B34" s="2"/>
      </tp>
      <tp t="s">
        <v>RBOB Gasoline (Globex) Cal Spread 1, Sep 15, Oct 15</v>
        <stp/>
        <stp>ContractData</stp>
        <stp>RBES1U5</stp>
        <stp>LongDescription</stp>
        <tr r="B33" s="2"/>
      </tp>
      <tp t="s">
        <v>RBOB Gasoline (Globex) Cal Spread 1, Aug 15, Sep 15</v>
        <stp/>
        <stp>ContractData</stp>
        <stp>RBES1Q5</stp>
        <stp>LongDescription</stp>
        <tr r="B32" s="2"/>
      </tp>
      <tp t="s">
        <v>RBOB Gasoline (Globex) Cal Spread 1, Jul 15, Aug 15</v>
        <stp/>
        <stp>ContractData</stp>
        <stp>RBES1N5</stp>
        <stp>LongDescription</stp>
        <tr r="B31" s="2"/>
      </tp>
      <tp t="s">
        <v>RBOB Gasoline (Globex) Cal Spread 1, Jun 15, Jul 15</v>
        <stp/>
        <stp>ContractData</stp>
        <stp>RBES1M5</stp>
        <stp>LongDescription</stp>
        <tr r="B30" s="2"/>
      </tp>
      <tp t="s">
        <v>RBOB Gasoline (Globex) Cal Spread 1, Apr 15, May 15</v>
        <stp/>
        <stp>ContractData</stp>
        <stp>RBES1J5</stp>
        <stp>LongDescription</stp>
        <tr r="B28" s="2"/>
      </tp>
      <tp t="s">
        <v>RBOB Gasoline (Globex) Cal Spread 1, May 15, Jun 15</v>
        <stp/>
        <stp>ContractData</stp>
        <stp>RBES1K5</stp>
        <stp>LongDescription</stp>
        <tr r="B29" s="2"/>
      </tp>
      <tp t="s">
        <v>RBOB Gasoline (Globex) Cal Spread 1, Mar 16, Apr 16</v>
        <stp/>
        <stp>ContractData</stp>
        <stp>RBES1H6</stp>
        <stp>LongDescription</stp>
        <tr r="B39" s="2"/>
      </tp>
      <tp t="s">
        <v>RBOB Gasoline (Globex) Cal Spread 1, Jan 16, Feb 16</v>
        <stp/>
        <stp>ContractData</stp>
        <stp>RBES1F6</stp>
        <stp>LongDescription</stp>
        <tr r="B37" s="2"/>
      </tp>
      <tp t="s">
        <v>RBOB Gasoline (Globex) Cal Spread 1, Feb 16, Mar 16</v>
        <stp/>
        <stp>ContractData</stp>
        <stp>RBES1G6</stp>
        <stp>LongDescription</stp>
        <tr r="B38" s="2"/>
      </tp>
      <tp>
        <v>1.2699999999999999E-2</v>
        <stp/>
        <stp>StudyData</stp>
        <stp>Consolidate(RBES1?9-RBES1?10,5X,RBES1?9-RBES1?10,1,0)</stp>
        <stp>Bar</stp>
        <stp/>
        <stp>Open</stp>
        <stp>D</stp>
        <stp/>
        <stp/>
        <stp/>
        <stp/>
        <stp/>
        <stp>T</stp>
        <tr r="E52" s="2"/>
      </tp>
      <tp>
        <v>1.2699999999999999E-2</v>
        <stp/>
        <stp>StudyData</stp>
        <stp>Consolidate(RBES1?9-RBES1?10,5X,RBES1?9-RBES1?10,1,0)</stp>
        <stp>Bar</stp>
        <stp/>
        <stp>High</stp>
        <stp>D</stp>
        <stp/>
        <stp/>
        <stp/>
        <stp/>
        <stp/>
        <stp>T</stp>
        <tr r="F52" s="2"/>
      </tp>
      <tp>
        <v>-2.3700000000000002E-2</v>
        <stp/>
        <stp>ContractData</stp>
        <stp>RBEM5</stp>
        <stp>NetLastTradeToday</stp>
        <stp/>
        <stp>T</stp>
        <tr r="H15" s="2"/>
        <tr r="G15" s="2"/>
      </tp>
      <tp>
        <v>1.18E-2</v>
        <stp/>
        <stp>ContractData</stp>
        <stp>SPREAD(RBES1?7-RBES1?8)</stp>
        <stp>Bid</stp>
        <stp/>
        <stp>T</stp>
        <tr r="Q43" s="2"/>
      </tp>
      <tp>
        <v>-3.7000000000000002E-3</v>
        <stp/>
        <stp>ContractData</stp>
        <stp>SPREAD(RBES1?2-RBES1?3)</stp>
        <stp>Bid</stp>
        <stp/>
        <stp>T</stp>
        <tr r="L43" s="2"/>
      </tp>
      <tp>
        <v>-5.5999999999999999E-3</v>
        <stp/>
        <stp>ContractData</stp>
        <stp>SPREAD(RBES1?4-RBES1?5)</stp>
        <stp>Bid</stp>
        <stp/>
        <stp>T</stp>
        <tr r="N43" s="2"/>
      </tp>
      <tp>
        <v>9.7600000000000006E-2</v>
        <stp/>
        <stp>ContractData</stp>
        <stp>SPREAD(RBES1?6-RBES1?7)</stp>
        <stp>Bid</stp>
        <stp/>
        <stp>T</stp>
        <tr r="P43" s="2"/>
      </tp>
      <tp>
        <v>2.0900000000000002E-2</v>
        <stp/>
        <stp>ContractData</stp>
        <stp>SPREAD(RBES1?8-RBES1?9)</stp>
        <stp>Bid</stp>
        <stp/>
        <stp>T</stp>
        <tr r="R43" s="2"/>
      </tp>
      <tp>
        <v>-1.4E-2</v>
        <stp/>
        <stp>ContractData</stp>
        <stp>SPREAD(RBES1?1-RBES1?2)</stp>
        <stp>Bid</stp>
        <stp/>
        <stp>T</stp>
        <tr r="K43" s="2"/>
      </tp>
      <tp>
        <v>-0.1037</v>
        <stp/>
        <stp>ContractData</stp>
        <stp>SPREAD(RBES1?5-RBES1?6)</stp>
        <stp>Bid</stp>
        <stp/>
        <stp>T</stp>
        <tr r="O43" s="2"/>
      </tp>
      <tp>
        <v>-2.9000000000000002E-3</v>
        <stp/>
        <stp>ContractData</stp>
        <stp>SPREAD(RBES1?3-RBES1?4)</stp>
        <stp>Bid</stp>
        <stp/>
        <stp>T</stp>
        <tr r="M43" s="2"/>
      </tp>
      <tp>
        <v>-1.3800000000000002E-2</v>
        <stp/>
        <stp>ContractData</stp>
        <stp>SPREAD(RBES1?1-RBES1?2)</stp>
        <stp>Ask</stp>
        <stp/>
        <stp>T</stp>
        <tr r="K42" s="2"/>
      </tp>
      <tp>
        <v>-0.10350000000000001</v>
        <stp/>
        <stp>ContractData</stp>
        <stp>SPREAD(RBES1?5-RBES1?6)</stp>
        <stp>Ask</stp>
        <stp/>
        <stp>T</stp>
        <tr r="O42" s="2"/>
      </tp>
      <tp>
        <v>-3.5000000000000001E-3</v>
        <stp/>
        <stp>ContractData</stp>
        <stp>SPREAD(RBES1?2-RBES1?3)</stp>
        <stp>Ask</stp>
        <stp/>
        <stp>T</stp>
        <tr r="L42" s="2"/>
      </tp>
      <tp>
        <v>-5.4000000000000003E-3</v>
        <stp/>
        <stp>ContractData</stp>
        <stp>SPREAD(RBES1?4-RBES1?5)</stp>
        <stp>Ask</stp>
        <stp/>
        <stp>T</stp>
        <tr r="N42" s="2"/>
      </tp>
      <tp>
        <v>9.8000000000000004E-2</v>
        <stp/>
        <stp>ContractData</stp>
        <stp>SPREAD(RBES1?6-RBES1?7)</stp>
        <stp>Ask</stp>
        <stp/>
        <stp>T</stp>
        <tr r="P42" s="2"/>
      </tp>
      <tp>
        <v>2.18E-2</v>
        <stp/>
        <stp>ContractData</stp>
        <stp>SPREAD(RBES1?8-RBES1?9)</stp>
        <stp>Ask</stp>
        <stp/>
        <stp>T</stp>
        <tr r="R42" s="2"/>
      </tp>
      <tp>
        <v>-2.7000000000000001E-3</v>
        <stp/>
        <stp>ContractData</stp>
        <stp>SPREAD(RBES1?3-RBES1?4)</stp>
        <stp>Ask</stp>
        <stp/>
        <stp>T</stp>
        <tr r="M42" s="2"/>
      </tp>
      <tp>
        <v>1.2400000000000001E-2</v>
        <stp/>
        <stp>ContractData</stp>
        <stp>SPREAD(RBES1?7-RBES1?8)</stp>
        <stp>Ask</stp>
        <stp/>
        <stp>T</stp>
        <tr r="Q42" s="2"/>
      </tp>
      <tp>
        <v>-2.1000000000000001E-2</v>
        <stp/>
        <stp>ContractData</stp>
        <stp>RBEN5</stp>
        <stp>NetLastTradeToday</stp>
        <stp/>
        <stp>T</stp>
        <tr r="G16" s="2"/>
        <tr r="H16" s="2"/>
      </tp>
      <tp>
        <v>1.6757000000000002</v>
        <stp/>
        <stp>ContractData</stp>
        <stp>RBEX5</stp>
        <stp>LastTradeorSettle</stp>
        <stp/>
        <stp>T</stp>
        <tr r="Q10" s="2"/>
        <tr r="R9" s="6"/>
        <tr r="F20" s="2"/>
      </tp>
      <tp>
        <v>8.3000000000000001E-3</v>
        <stp/>
        <stp>StudyData</stp>
        <stp>Consolidate(RBES1?10-RBES1?11,5X,RBES1?10-RBES1?11,1,0)</stp>
        <stp>Bar</stp>
        <stp/>
        <stp>Close</stp>
        <stp>D</stp>
        <stp>-1</stp>
        <stp/>
        <stp/>
        <stp/>
        <stp/>
        <stp>T</stp>
        <tr r="I53" s="2"/>
      </tp>
      <tp>
        <v>8.3000000000000001E-3</v>
        <stp/>
        <stp>StudyData</stp>
        <stp>Consolidate(RBES1?10-RBES1?11,5X,RBES1?10-RBES11?2,1,0)</stp>
        <stp>Bar</stp>
        <stp/>
        <stp>Close</stp>
        <stp>D</stp>
        <stp>-1</stp>
        <stp/>
        <stp/>
        <stp/>
        <stp/>
        <stp>T</stp>
        <tr r="U43" s="6"/>
      </tp>
      <tp>
        <v>-3.0200000000000001E-2</v>
        <stp/>
        <stp>ContractData</stp>
        <stp>RBEK5</stp>
        <stp>NetLastTradeToday</stp>
        <stp/>
        <stp>T</stp>
        <tr r="G14" s="2"/>
        <tr r="H14" s="2"/>
      </tp>
      <tp>
        <v>8.6E-3</v>
        <stp/>
        <stp>StudyData</stp>
        <stp>Consolidate(RBES1?10-RBES1?11,5X,RBES1?10-RBES1?11,1,0)</stp>
        <stp>Bar</stp>
        <stp/>
        <stp>Close</stp>
        <stp>D</stp>
        <stp>0</stp>
        <stp/>
        <stp/>
        <stp/>
        <stp/>
        <stp>T</stp>
        <tr r="I53" s="2"/>
      </tp>
      <tp>
        <v>-3.7400000000000003E-2</v>
        <stp/>
        <stp>ContractData</stp>
        <stp>RBEJ5</stp>
        <stp>NetLastTradeToday</stp>
        <stp/>
        <stp>T</stp>
        <tr r="H13" s="2"/>
        <tr r="G13" s="2"/>
      </tp>
      <tp>
        <v>1.6576000000000002</v>
        <stp/>
        <stp>ContractData</stp>
        <stp>RBEZ5</stp>
        <stp>LastTradeorSettle</stp>
        <stp/>
        <stp>T</stp>
        <tr r="R10" s="6"/>
        <tr r="F21" s="2"/>
        <tr r="R10" s="2"/>
      </tp>
      <tp>
        <v>-0.2</v>
        <stp/>
        <stp>ContractData</stp>
        <stp>RBES1H6</stp>
        <stp>Low</stp>
        <stp/>
        <stp>T</stp>
        <tr r="E39" s="2"/>
      </tp>
      <tp>
        <v>1.03E-2</v>
        <stp/>
        <stp>ContractData</stp>
        <stp>RBES1K5</stp>
        <stp>Low</stp>
        <stp/>
        <stp>T</stp>
        <tr r="E29" s="2"/>
      </tp>
      <tp>
        <v>-3.5000000000000001E-3</v>
        <stp/>
        <stp>ContractData</stp>
        <stp>RBES1J5</stp>
        <stp>Low</stp>
        <stp/>
        <stp>T</stp>
        <tr r="E28" s="2"/>
      </tp>
      <tp>
        <v>1.4E-2</v>
        <stp/>
        <stp>ContractData</stp>
        <stp>RBES1M5</stp>
        <stp>Low</stp>
        <stp/>
        <stp>T</stp>
        <tr r="E30" s="2"/>
      </tp>
      <tp>
        <v>1.6800000000000002E-2</v>
        <stp/>
        <stp>ContractData</stp>
        <stp>RBES1N5</stp>
        <stp>Low</stp>
        <stp/>
        <stp>T</stp>
        <tr r="E31" s="2"/>
      </tp>
      <tp t="s">
        <v/>
        <stp/>
        <stp>ContractData</stp>
        <stp>RBES1G6</stp>
        <stp>Low</stp>
        <stp/>
        <stp>T</stp>
        <tr r="E38" s="2"/>
      </tp>
      <tp>
        <v>-1.7400000000000002E-2</v>
        <stp/>
        <stp>ContractData</stp>
        <stp>RBES1F6</stp>
        <stp>Low</stp>
        <stp/>
        <stp>T</stp>
        <tr r="E37" s="2"/>
      </tp>
      <tp>
        <v>1.5000000000000001E-2</v>
        <stp/>
        <stp>ContractData</stp>
        <stp>RBES1X5</stp>
        <stp>Low</stp>
        <stp/>
        <stp>T</stp>
        <tr r="E35" s="2"/>
      </tp>
      <tp>
        <v>-6.8000000000000005E-3</v>
        <stp/>
        <stp>ContractData</stp>
        <stp>RBES1Z5</stp>
        <stp>Low</stp>
        <stp/>
        <stp>T</stp>
        <tr r="E36" s="2"/>
      </tp>
      <tp>
        <v>2.18E-2</v>
        <stp/>
        <stp>ContractData</stp>
        <stp>RBES1Q5</stp>
        <stp>Low</stp>
        <stp/>
        <stp>T</stp>
        <tr r="E32" s="2"/>
      </tp>
      <tp>
        <v>0.1258</v>
        <stp/>
        <stp>ContractData</stp>
        <stp>RBES1U5</stp>
        <stp>Low</stp>
        <stp/>
        <stp>T</stp>
        <tr r="E33" s="2"/>
      </tp>
      <tp>
        <v>2.7900000000000001E-2</v>
        <stp/>
        <stp>ContractData</stp>
        <stp>RBES1V5</stp>
        <stp>Low</stp>
        <stp/>
        <stp>T</stp>
        <tr r="E34" s="2"/>
      </tp>
      <tp>
        <v>1.6800000000000002E-2</v>
        <stp/>
        <stp>ContractData</stp>
        <stp>RBES1N5</stp>
        <stp>Bid</stp>
        <stp/>
        <stp>T</stp>
        <tr r="N14" s="2"/>
      </tp>
      <tp>
        <v>1.4E-2</v>
        <stp/>
        <stp>ContractData</stp>
        <stp>RBES1M5</stp>
        <stp>Bid</stp>
        <stp/>
        <stp>T</stp>
        <tr r="M14" s="2"/>
      </tp>
      <tp>
        <v>1.0400000000000001E-2</v>
        <stp/>
        <stp>ContractData</stp>
        <stp>RBES1K5</stp>
        <stp>Bid</stp>
        <stp/>
        <stp>T</stp>
        <tr r="L14" s="2"/>
      </tp>
      <tp>
        <v>-3.5000000000000001E-3</v>
        <stp/>
        <stp>ContractData</stp>
        <stp>RBES1J5</stp>
        <stp>Bid</stp>
        <stp/>
        <stp>T</stp>
        <tr r="K14" s="2"/>
      </tp>
      <tp>
        <v>-2.7400000000000001E-2</v>
        <stp/>
        <stp>ContractData</stp>
        <stp>RBES1G6</stp>
        <stp>Bid</stp>
        <stp/>
        <stp>T</stp>
        <tr r="U14" s="2"/>
      </tp>
      <tp>
        <v>-1.8800000000000001E-2</v>
        <stp/>
        <stp>ContractData</stp>
        <stp>RBES1F6</stp>
        <stp>Bid</stp>
        <stp/>
        <stp>T</stp>
        <tr r="T14" s="2"/>
      </tp>
      <tp>
        <v>-5.5999999999999999E-3</v>
        <stp/>
        <stp>ContractData</stp>
        <stp>RBES1Z5</stp>
        <stp>Bid</stp>
        <stp/>
        <stp>T</stp>
        <tr r="S14" s="2"/>
      </tp>
      <tp>
        <v>1.5900000000000001E-2</v>
        <stp/>
        <stp>ContractData</stp>
        <stp>RBES1X5</stp>
        <stp>Bid</stp>
        <stp/>
        <stp>T</stp>
        <tr r="R14" s="2"/>
      </tp>
      <tp>
        <v>2.8000000000000001E-2</v>
        <stp/>
        <stp>ContractData</stp>
        <stp>RBES1V5</stp>
        <stp>Bid</stp>
        <stp/>
        <stp>T</stp>
        <tr r="Q14" s="2"/>
      </tp>
      <tp>
        <v>0.12590000000000001</v>
        <stp/>
        <stp>ContractData</stp>
        <stp>RBES1U5</stp>
        <stp>Bid</stp>
        <stp/>
        <stp>T</stp>
        <tr r="P14" s="2"/>
      </tp>
      <tp>
        <v>2.23E-2</v>
        <stp/>
        <stp>ContractData</stp>
        <stp>RBES1Q5</stp>
        <stp>Bid</stp>
        <stp/>
        <stp>T</stp>
        <tr r="O14" s="2"/>
      </tp>
      <tp>
        <v>0.126</v>
        <stp/>
        <stp>ContractData</stp>
        <stp>RBES1U5</stp>
        <stp>Ask</stp>
        <stp/>
        <stp>T</stp>
        <tr r="P13" s="2"/>
      </tp>
      <tp>
        <v>2.8300000000000002E-2</v>
        <stp/>
        <stp>ContractData</stp>
        <stp>RBES1V5</stp>
        <stp>Ask</stp>
        <stp/>
        <stp>T</stp>
        <tr r="Q13" s="2"/>
      </tp>
      <tp>
        <v>2.24E-2</v>
        <stp/>
        <stp>ContractData</stp>
        <stp>RBES1Q5</stp>
        <stp>Ask</stp>
        <stp/>
        <stp>T</stp>
        <tr r="O13" s="2"/>
      </tp>
      <tp>
        <v>1.6199999999999999E-2</v>
        <stp/>
        <stp>ContractData</stp>
        <stp>RBES1X5</stp>
        <stp>Ask</stp>
        <stp/>
        <stp>T</stp>
        <tr r="R13" s="2"/>
      </tp>
      <tp>
        <v>-5.0000000000000001E-3</v>
        <stp/>
        <stp>ContractData</stp>
        <stp>RBES1Z5</stp>
        <stp>Ask</stp>
        <stp/>
        <stp>T</stp>
        <tr r="S13" s="2"/>
      </tp>
      <tp>
        <v>-2.63E-2</v>
        <stp/>
        <stp>ContractData</stp>
        <stp>RBES1G6</stp>
        <stp>Ask</stp>
        <stp/>
        <stp>T</stp>
        <tr r="U13" s="2"/>
      </tp>
      <tp>
        <v>-1.77E-2</v>
        <stp/>
        <stp>ContractData</stp>
        <stp>RBES1F6</stp>
        <stp>Ask</stp>
        <stp/>
        <stp>T</stp>
        <tr r="T13" s="2"/>
      </tp>
      <tp>
        <v>1.4100000000000001E-2</v>
        <stp/>
        <stp>ContractData</stp>
        <stp>RBES1M5</stp>
        <stp>Ask</stp>
        <stp/>
        <stp>T</stp>
        <tr r="M13" s="2"/>
      </tp>
      <tp>
        <v>1.6900000000000002E-2</v>
        <stp/>
        <stp>ContractData</stp>
        <stp>RBES1N5</stp>
        <stp>Ask</stp>
        <stp/>
        <stp>T</stp>
        <tr r="N13" s="2"/>
      </tp>
      <tp>
        <v>1.0500000000000001E-2</v>
        <stp/>
        <stp>ContractData</stp>
        <stp>RBES1K5</stp>
        <stp>Ask</stp>
        <stp/>
        <stp>T</stp>
        <tr r="L13" s="2"/>
      </tp>
      <tp>
        <v>-3.4000000000000002E-3</v>
        <stp/>
        <stp>ContractData</stp>
        <stp>RBES1J5</stp>
        <stp>Ask</stp>
        <stp/>
        <stp>T</stp>
        <tr r="K13" s="2"/>
      </tp>
      <tp>
        <v>1.8275000000000001</v>
        <stp/>
        <stp>ContractData</stp>
        <stp>RBEU5</stp>
        <stp>LastTradeorSettle</stp>
        <stp/>
        <stp>T</stp>
        <tr r="R7" s="6"/>
        <tr r="F18" s="2"/>
        <tr r="O10" s="2"/>
      </tp>
      <tp t="s">
        <v>APR</v>
        <stp/>
        <stp>ContractData</stp>
        <stp>RBE?</stp>
        <stp>ContractMonth</stp>
        <tr r="R35" s="6"/>
      </tp>
      <tp>
        <v>8.6E-3</v>
        <stp/>
        <stp>StudyData</stp>
        <stp>Consolidate(RBES1?10-RBES1?11,5X,RBES1?10-RBES1?11,1,0)</stp>
        <stp>Bar</stp>
        <stp/>
        <stp>High</stp>
        <stp>D</stp>
        <stp/>
        <stp/>
        <stp/>
        <stp/>
        <stp/>
        <stp>T</stp>
        <tr r="F53" s="2"/>
      </tp>
      <tp t="s">
        <v/>
        <stp/>
        <stp>ContractData</stp>
        <stp>RBEG6</stp>
        <stp>NetLastTradeToday</stp>
        <stp/>
        <stp>T</stp>
        <tr r="H23" s="2"/>
        <tr r="G23" s="2"/>
      </tp>
      <tp t="s">
        <v>RBOB Gasoline (Globex), Nov 15</v>
        <stp/>
        <stp>ContractData</stp>
        <stp>RBEX5</stp>
        <stp>LongDescription</stp>
        <tr r="B20" s="2"/>
      </tp>
      <tp t="s">
        <v>RBOB Gasoline (Globex), Dec 15</v>
        <stp/>
        <stp>ContractData</stp>
        <stp>RBEZ5</stp>
        <stp>LongDescription</stp>
        <tr r="B21" s="2"/>
      </tp>
      <tp t="s">
        <v>RBOB Gasoline (Globex), Aug 15</v>
        <stp/>
        <stp>ContractData</stp>
        <stp>RBEQ5</stp>
        <stp>LongDescription</stp>
        <tr r="B17" s="2"/>
      </tp>
      <tp t="s">
        <v>RBOB Gasoline (Globex), Sep 15</v>
        <stp/>
        <stp>ContractData</stp>
        <stp>RBEU5</stp>
        <stp>LongDescription</stp>
        <tr r="B18" s="2"/>
      </tp>
      <tp t="s">
        <v>RBOB Gasoline (Globex), Oct 15</v>
        <stp/>
        <stp>ContractData</stp>
        <stp>RBEV5</stp>
        <stp>LongDescription</stp>
        <tr r="B19" s="2"/>
      </tp>
      <tp t="s">
        <v>RBOB Gasoline (Globex), May 15</v>
        <stp/>
        <stp>ContractData</stp>
        <stp>RBEK5</stp>
        <stp>LongDescription</stp>
        <tr r="B14" s="2"/>
      </tp>
      <tp t="s">
        <v>RBOB Gasoline (Globex), Apr 15</v>
        <stp/>
        <stp>ContractData</stp>
        <stp>RBEJ5</stp>
        <stp>LongDescription</stp>
        <tr r="B4" s="2"/>
        <tr r="B13" s="2"/>
      </tp>
      <tp t="s">
        <v>RBOB Gasoline (Globex), Jun 15</v>
        <stp/>
        <stp>ContractData</stp>
        <stp>RBEM5</stp>
        <stp>LongDescription</stp>
        <tr r="B15" s="2"/>
      </tp>
      <tp t="s">
        <v>RBOB Gasoline (Globex), Jul 15</v>
        <stp/>
        <stp>ContractData</stp>
        <stp>RBEN5</stp>
        <stp>LongDescription</stp>
        <tr r="B16" s="2"/>
      </tp>
      <tp t="s">
        <v>RBOB Gasoline (Globex), Feb 16</v>
        <stp/>
        <stp>ContractData</stp>
        <stp>RBEG6</stp>
        <stp>LongDescription</stp>
        <tr r="B23" s="2"/>
      </tp>
      <tp t="s">
        <v>RBOB Gasoline (Globex), Jan 16</v>
        <stp/>
        <stp>ContractData</stp>
        <stp>RBEF6</stp>
        <stp>LongDescription</stp>
        <tr r="B22" s="2"/>
      </tp>
      <tp>
        <v>8.3000000000000001E-3</v>
        <stp/>
        <stp>StudyData</stp>
        <stp>Consolidate(RBES1?10-RBES1?11,5X,RBES1?10-RBES1?11,1,0)</stp>
        <stp>Bar</stp>
        <stp/>
        <stp>Open</stp>
        <stp>D</stp>
        <stp/>
        <stp/>
        <stp/>
        <stp/>
        <stp/>
        <stp>T</stp>
        <tr r="E53" s="2"/>
      </tp>
      <tp>
        <v>-1.0700000000000001E-2</v>
        <stp/>
        <stp>ContractData</stp>
        <stp>RBEF6</stp>
        <stp>NetLastTradeToday</stp>
        <stp/>
        <stp>T</stp>
        <tr r="H22" s="2"/>
        <tr r="G22" s="2"/>
      </tp>
      <tp>
        <v>1.7016</v>
        <stp/>
        <stp>ContractData</stp>
        <stp>RBEV5</stp>
        <stp>LastTradeorSettle</stp>
        <stp/>
        <stp>T</stp>
        <tr r="R8" s="6"/>
        <tr r="F19" s="2"/>
        <tr r="P10" s="2"/>
      </tp>
      <tp>
        <v>1.8525</v>
        <stp/>
        <stp>ContractData</stp>
        <stp>RBEQ5</stp>
        <stp>LastTradeorSettle</stp>
        <stp/>
        <stp>T</stp>
        <tr r="N10" s="2"/>
        <tr r="R6" s="6"/>
        <tr r="F17" s="2"/>
      </tp>
      <tp>
        <v>1.8812</v>
        <stp/>
        <stp>ContractData</stp>
        <stp>RBEM5</stp>
        <stp>LastTradeorSettle</stp>
        <stp/>
        <stp>T</stp>
        <tr r="R4" s="6"/>
        <tr r="F15" s="2"/>
        <tr r="L10" s="2"/>
      </tp>
      <tp>
        <v>-2.3999999999999998E-3</v>
        <stp/>
        <stp>StudyData</stp>
        <stp>Consolidate(RBES1?3-RBES1?4,5X,RBES1?3-RBES1?4,1,0)</stp>
        <stp>Bar</stp>
        <stp/>
        <stp>Low</stp>
        <stp>D</stp>
        <stp/>
        <stp/>
        <stp/>
        <stp/>
        <stp/>
        <stp>T</stp>
        <tr r="G46" s="2"/>
      </tp>
      <tp>
        <v>1.8664000000000001</v>
        <stp/>
        <stp>ContractData</stp>
        <stp>RBEN5</stp>
        <stp>LastTradeorSettle</stp>
        <stp/>
        <stp>T</stp>
        <tr r="R5" s="6"/>
        <tr r="F16" s="2"/>
        <tr r="M10" s="2"/>
      </tp>
      <tp>
        <v>-4.1000000000000003E-3</v>
        <stp/>
        <stp>StudyData</stp>
        <stp>Consolidate(RBES1?2-RBES1?3,5X,RBES1?2-RBES1?3,1,0)</stp>
        <stp>Bar</stp>
        <stp/>
        <stp>Low</stp>
        <stp>D</stp>
        <stp/>
        <stp/>
        <stp/>
        <stp/>
        <stp/>
        <stp>T</stp>
        <tr r="G45" s="2"/>
      </tp>
      <tp>
        <v>-6.4000000000000003E-3</v>
        <stp/>
        <stp>StudyData</stp>
        <stp>Consolidate(RBES1?4-RBES1?5,5X,RBES1?4-RBES1?5,1,0)</stp>
        <stp>Bar</stp>
        <stp/>
        <stp>Low</stp>
        <stp>D</stp>
        <stp/>
        <stp/>
        <stp/>
        <stp/>
        <stp/>
        <stp>T</stp>
        <tr r="G47" s="2"/>
      </tp>
      <tp>
        <v>9.7600000000000006E-2</v>
        <stp/>
        <stp>StudyData</stp>
        <stp>Consolidate(RBES1?6-RBES1?7,5X,RBES1?6-RBES1?7,1,0)</stp>
        <stp>Bar</stp>
        <stp/>
        <stp>Low</stp>
        <stp>D</stp>
        <stp/>
        <stp/>
        <stp/>
        <stp/>
        <stp/>
        <stp>T</stp>
        <tr r="G49" s="2"/>
      </tp>
      <tp>
        <v>2.06E-2</v>
        <stp/>
        <stp>StudyData</stp>
        <stp>Consolidate(RBES1?8-RBES1?9,5X,RBES1?8-RBES1?9,1,0)</stp>
        <stp>Bar</stp>
        <stp/>
        <stp>Low</stp>
        <stp>D</stp>
        <stp/>
        <stp/>
        <stp/>
        <stp/>
        <stp/>
        <stp>T</stp>
        <tr r="G51" s="2"/>
      </tp>
      <tp>
        <v>-1.14E-2</v>
        <stp/>
        <stp>ContractData</stp>
        <stp>RBEX5</stp>
        <stp>NetLastTradeToday</stp>
        <stp/>
        <stp>T</stp>
        <tr r="G20" s="2"/>
        <tr r="H20" s="2"/>
      </tp>
      <tp t="s">
        <v/>
        <stp/>
        <stp>ContractData</stp>
        <stp>RBEH6</stp>
        <stp>LastTradeorSettle</stp>
        <stp/>
        <stp>T</stp>
        <tr r="U10" s="2"/>
        <tr r="R13" s="6"/>
      </tp>
      <tp>
        <v>1.8917000000000002</v>
        <stp/>
        <stp>ContractData</stp>
        <stp>RBEK5</stp>
        <stp>LastTradeorSettle</stp>
        <stp/>
        <stp>T</stp>
        <tr r="R3" s="6"/>
        <tr r="F14" s="2"/>
        <tr r="K10" s="2"/>
      </tp>
      <tp>
        <v>-1.4E-2</v>
        <stp/>
        <stp>StudyData</stp>
        <stp>Consolidate(RBES1?1-RBES1?2,5X,RBES1?1-RBES1?2,1,0)</stp>
        <stp>Bar</stp>
        <stp/>
        <stp>Low</stp>
        <stp>D</stp>
        <stp/>
        <stp/>
        <stp/>
        <stp/>
        <stp/>
        <stp>T</stp>
        <tr r="G44" s="2"/>
      </tp>
      <tp>
        <v>-0.10680000000000001</v>
        <stp/>
        <stp>StudyData</stp>
        <stp>Consolidate(RBES1?5-RBES1?6,5X,RBES1?5-RBES1?6,1,0)</stp>
        <stp>Bar</stp>
        <stp/>
        <stp>Low</stp>
        <stp>D</stp>
        <stp/>
        <stp/>
        <stp/>
        <stp/>
        <stp/>
        <stp>T</stp>
        <tr r="G48" s="2"/>
      </tp>
      <tp>
        <v>-1.3000000000000001E-2</v>
        <stp/>
        <stp>ContractData</stp>
        <stp>RBEZ5</stp>
        <stp>NetLastTradeToday</stp>
        <stp/>
        <stp>T</stp>
        <tr r="H21" s="2"/>
        <tr r="G21" s="2"/>
      </tp>
      <tp>
        <v>1.8883000000000001</v>
        <stp/>
        <stp>ContractData</stp>
        <stp>RBEJ5</stp>
        <stp>LastTradeorSettle</stp>
        <stp/>
        <stp>T</stp>
        <tr r="F9" s="2"/>
        <tr r="R2" s="6"/>
        <tr r="F13" s="2"/>
        <tr r="J10" s="2"/>
      </tp>
      <tp>
        <v>-1.8000000000000002E-2</v>
        <stp/>
        <stp>ContractData</stp>
        <stp>RBEU5</stp>
        <stp>NetLastTradeToday</stp>
        <stp/>
        <stp>T</stp>
        <tr r="G18" s="2"/>
        <tr r="H18" s="2"/>
      </tp>
      <tp t="s">
        <v/>
        <stp/>
        <stp>ContractData</stp>
        <stp>RBEG6</stp>
        <stp>LastTradeorSettle</stp>
        <stp/>
        <stp>T</stp>
        <tr r="T10" s="2"/>
        <tr r="R12" s="6"/>
        <tr r="F23" s="2"/>
      </tp>
      <tp>
        <v>1.6199999999999999E-2</v>
        <stp/>
        <stp>ContractData</stp>
        <stp>RBES1X</stp>
        <stp>Ask</stp>
        <stp/>
        <stp>T</stp>
        <tr r="Z9" s="6"/>
      </tp>
      <tp>
        <v>-5.0000000000000001E-3</v>
        <stp/>
        <stp>ContractData</stp>
        <stp>RBES1Z</stp>
        <stp>Ask</stp>
        <stp/>
        <stp>T</stp>
        <tr r="Z10" s="6"/>
      </tp>
      <tp>
        <v>2.24E-2</v>
        <stp/>
        <stp>ContractData</stp>
        <stp>RBES1Q</stp>
        <stp>Ask</stp>
        <stp/>
        <stp>T</stp>
        <tr r="Z6" s="6"/>
      </tp>
      <tp>
        <v>0.126</v>
        <stp/>
        <stp>ContractData</stp>
        <stp>RBES1U</stp>
        <stp>Ask</stp>
        <stp/>
        <stp>T</stp>
        <tr r="Z7" s="6"/>
      </tp>
      <tp>
        <v>2.8300000000000002E-2</v>
        <stp/>
        <stp>ContractData</stp>
        <stp>RBES1V</stp>
        <stp>Ask</stp>
        <stp/>
        <stp>T</stp>
        <tr r="Z8" s="6"/>
      </tp>
      <tp>
        <v>-0.19920000000000002</v>
        <stp/>
        <stp>ContractData</stp>
        <stp>RBES1H</stp>
        <stp>Ask</stp>
        <stp/>
        <stp>T</stp>
        <tr r="Z13" s="6"/>
      </tp>
      <tp>
        <v>1.0500000000000001E-2</v>
        <stp/>
        <stp>ContractData</stp>
        <stp>RBES1K</stp>
        <stp>Ask</stp>
        <stp/>
        <stp>T</stp>
        <tr r="Z3" s="6"/>
      </tp>
      <tp>
        <v>-3.4000000000000002E-3</v>
        <stp/>
        <stp>ContractData</stp>
        <stp>RBES1J</stp>
        <stp>Ask</stp>
        <stp/>
        <stp>T</stp>
        <tr r="Z2" s="6"/>
      </tp>
      <tp>
        <v>1.4100000000000001E-2</v>
        <stp/>
        <stp>ContractData</stp>
        <stp>RBES1M</stp>
        <stp>Ask</stp>
        <stp/>
        <stp>T</stp>
        <tr r="Z4" s="6"/>
      </tp>
      <tp>
        <v>1.6900000000000002E-2</v>
        <stp/>
        <stp>ContractData</stp>
        <stp>RBES1N</stp>
        <stp>Ask</stp>
        <stp/>
        <stp>T</stp>
        <tr r="Z5" s="6"/>
      </tp>
      <tp>
        <v>-2.63E-2</v>
        <stp/>
        <stp>ContractData</stp>
        <stp>RBES1G</stp>
        <stp>Ask</stp>
        <stp/>
        <stp>T</stp>
        <tr r="Z12" s="6"/>
      </tp>
      <tp>
        <v>-1.77E-2</v>
        <stp/>
        <stp>ContractData</stp>
        <stp>RBES1F</stp>
        <stp>Ask</stp>
        <stp/>
        <stp>T</stp>
        <tr r="Z11" s="6"/>
      </tp>
      <tp>
        <v>2.8000000000000001E-2</v>
        <stp/>
        <stp>ContractData</stp>
        <stp>RBES1V</stp>
        <stp>Bid</stp>
        <stp/>
        <stp>T</stp>
        <tr r="Y8" s="6"/>
      </tp>
      <tp>
        <v>0.12590000000000001</v>
        <stp/>
        <stp>ContractData</stp>
        <stp>RBES1U</stp>
        <stp>Bid</stp>
        <stp/>
        <stp>T</stp>
        <tr r="Y7" s="6"/>
      </tp>
      <tp>
        <v>2.23E-2</v>
        <stp/>
        <stp>ContractData</stp>
        <stp>RBES1Q</stp>
        <stp>Bid</stp>
        <stp/>
        <stp>T</stp>
        <tr r="Y6" s="6"/>
      </tp>
      <tp>
        <v>-5.5999999999999999E-3</v>
        <stp/>
        <stp>ContractData</stp>
        <stp>RBES1Z</stp>
        <stp>Bid</stp>
        <stp/>
        <stp>T</stp>
        <tr r="Y10" s="6"/>
      </tp>
      <tp>
        <v>1.5900000000000001E-2</v>
        <stp/>
        <stp>ContractData</stp>
        <stp>RBES1X</stp>
        <stp>Bid</stp>
        <stp/>
        <stp>T</stp>
        <tr r="Y9" s="6"/>
      </tp>
      <tp>
        <v>-1.8800000000000001E-2</v>
        <stp/>
        <stp>ContractData</stp>
        <stp>RBES1F</stp>
        <stp>Bid</stp>
        <stp/>
        <stp>T</stp>
        <tr r="Y11" s="6"/>
      </tp>
      <tp>
        <v>-2.7400000000000001E-2</v>
        <stp/>
        <stp>ContractData</stp>
        <stp>RBES1G</stp>
        <stp>Bid</stp>
        <stp/>
        <stp>T</stp>
        <tr r="Y12" s="6"/>
      </tp>
      <tp>
        <v>1.6800000000000002E-2</v>
        <stp/>
        <stp>ContractData</stp>
        <stp>RBES1N</stp>
        <stp>Bid</stp>
        <stp/>
        <stp>T</stp>
        <tr r="Y5" s="6"/>
      </tp>
      <tp>
        <v>1.4E-2</v>
        <stp/>
        <stp>ContractData</stp>
        <stp>RBES1M</stp>
        <stp>Bid</stp>
        <stp/>
        <stp>T</stp>
        <tr r="Y4" s="6"/>
      </tp>
      <tp>
        <v>-3.5000000000000001E-3</v>
        <stp/>
        <stp>ContractData</stp>
        <stp>RBES1J</stp>
        <stp>Bid</stp>
        <stp/>
        <stp>T</stp>
        <tr r="Y2" s="6"/>
      </tp>
      <tp>
        <v>1.0400000000000001E-2</v>
        <stp/>
        <stp>ContractData</stp>
        <stp>RBES1K</stp>
        <stp>Bid</stp>
        <stp/>
        <stp>T</stp>
        <tr r="Y3" s="6"/>
      </tp>
      <tp>
        <v>-0.2</v>
        <stp/>
        <stp>ContractData</stp>
        <stp>RBES1H</stp>
        <stp>Bid</stp>
        <stp/>
        <stp>T</stp>
        <tr r="Y13" s="6"/>
      </tp>
      <tp>
        <v>1.2200000000000001E-2</v>
        <stp/>
        <stp>StudyData</stp>
        <stp>Consolidate(RBES1?7-RBES1?8,5X,RBES1?7-RBES1?8,1,0)</stp>
        <stp>Bar</stp>
        <stp/>
        <stp>Low</stp>
        <stp>D</stp>
        <stp/>
        <stp/>
        <stp/>
        <stp/>
        <stp/>
        <stp>T</stp>
        <tr r="G50" s="2"/>
      </tp>
      <tp>
        <v>-1.5100000000000001E-2</v>
        <stp/>
        <stp>ContractData</stp>
        <stp>RBEV5</stp>
        <stp>NetLastTradeToday</stp>
        <stp/>
        <stp>T</stp>
        <tr r="H19" s="2"/>
        <tr r="G19" s="2"/>
      </tp>
      <tp>
        <v>1.665</v>
        <stp/>
        <stp>ContractData</stp>
        <stp>RBEF6</stp>
        <stp>LastTradeorSettle</stp>
        <stp/>
        <stp>T</stp>
        <tr r="S10" s="2"/>
        <tr r="R11" s="6"/>
        <tr r="F22" s="2"/>
      </tp>
      <tp>
        <v>-1.6500000000000001E-2</v>
        <stp/>
        <stp>ContractData</stp>
        <stp>RBEQ5</stp>
        <stp>NetLastTradeToday</stp>
        <stp/>
        <stp>T</stp>
        <tr r="G17" s="2"/>
        <tr r="H17" s="2"/>
      </tp>
      <tp t="s">
        <v>RBOB Gasoline (Globex) Cal Spread 1, Jan 16, Feb 16</v>
        <stp/>
        <stp>ContractData</stp>
        <stp>RBES1?10</stp>
        <stp>LongDescription</stp>
        <tr r="B52" s="2"/>
        <tr r="B53" s="2"/>
      </tp>
      <tp t="s">
        <v>RBOB Gasoline (Globex) Cal Spread 1, Feb 16, Mar 16</v>
        <stp/>
        <stp>ContractData</stp>
        <stp>RBES1?11</stp>
        <stp>LongDescription</stp>
        <tr r="B53" s="2"/>
      </tp>
      <tp>
        <v>-7.3000000000000001E-3</v>
        <stp/>
        <stp>ContractData</stp>
        <stp>RBES1J5</stp>
        <stp>NetLastTradeToday</stp>
        <stp/>
        <stp>T</stp>
        <tr r="H28" s="2"/>
        <tr r="G28" s="2"/>
      </tp>
      <tp>
        <v>-5.1000000000000004E-3</v>
        <stp/>
        <stp>ContractData</stp>
        <stp>RBES1Z5</stp>
        <stp>LastTradeorSettle</stp>
        <stp/>
        <stp>T</stp>
        <tr r="F36" s="2"/>
        <tr r="S15" s="2"/>
      </tp>
      <tp>
        <v>1.7000000000000001E-2</v>
        <stp/>
        <stp>ContractData</stp>
        <stp>RBES1K</stp>
        <stp>Settlement</stp>
        <stp/>
        <stp>T</stp>
        <tr r="AK3" s="6"/>
      </tp>
      <tp t="s">
        <v/>
        <stp/>
        <stp>ContractData</stp>
        <stp>RBES1G6</stp>
        <stp>Open</stp>
        <stp/>
        <stp>T</stp>
        <tr r="C38" s="2"/>
      </tp>
      <tp>
        <v>-1.7400000000000002E-2</v>
        <stp/>
        <stp>ContractData</stp>
        <stp>RBES1F6</stp>
        <stp>Open</stp>
        <stp/>
        <stp>T</stp>
        <tr r="C37" s="2"/>
      </tp>
      <tp>
        <v>1.6800000000000002E-2</v>
        <stp/>
        <stp>ContractData</stp>
        <stp>RBES1K5</stp>
        <stp>Open</stp>
        <stp/>
        <stp>T</stp>
        <tr r="C29" s="2"/>
      </tp>
      <tp>
        <v>3.3E-3</v>
        <stp/>
        <stp>ContractData</stp>
        <stp>RBES1J5</stp>
        <stp>Open</stp>
        <stp/>
        <stp>T</stp>
        <tr r="C28" s="2"/>
      </tp>
      <tp>
        <v>-0.2</v>
        <stp/>
        <stp>ContractData</stp>
        <stp>RBES1H6</stp>
        <stp>Open</stp>
        <stp/>
        <stp>T</stp>
        <tr r="C39" s="2"/>
      </tp>
      <tp>
        <v>1.7600000000000001E-2</v>
        <stp/>
        <stp>ContractData</stp>
        <stp>RBES1N5</stp>
        <stp>Open</stp>
        <stp/>
        <stp>T</stp>
        <tr r="C31" s="2"/>
      </tp>
      <tp>
        <v>1.78E-2</v>
        <stp/>
        <stp>ContractData</stp>
        <stp>RBES1M5</stp>
        <stp>Open</stp>
        <stp/>
        <stp>T</stp>
        <tr r="C30" s="2"/>
      </tp>
      <tp>
        <v>2.3599999999999999E-2</v>
        <stp/>
        <stp>ContractData</stp>
        <stp>RBES1Q5</stp>
        <stp>Open</stp>
        <stp/>
        <stp>T</stp>
        <tr r="C32" s="2"/>
      </tp>
      <tp t="s">
        <v>RBES1N5</v>
        <stp/>
        <stp>ContractData</stp>
        <stp>RBES1?4</stp>
        <stp>Symbol</stp>
        <tr r="A31" s="2"/>
      </tp>
      <tp t="s">
        <v>RBES1Q5</v>
        <stp/>
        <stp>ContractData</stp>
        <stp>RBES1?5</stp>
        <stp>Symbol</stp>
        <tr r="A32" s="2"/>
      </tp>
      <tp t="s">
        <v>RBES1U5</v>
        <stp/>
        <stp>ContractData</stp>
        <stp>RBES1?6</stp>
        <stp>Symbol</stp>
        <tr r="A33" s="2"/>
      </tp>
      <tp t="s">
        <v>RBES1V5</v>
        <stp/>
        <stp>ContractData</stp>
        <stp>RBES1?7</stp>
        <stp>Symbol</stp>
        <tr r="A34" s="2"/>
      </tp>
      <tp t="s">
        <v>RBES1J5</v>
        <stp/>
        <stp>ContractData</stp>
        <stp>RBES1?1</stp>
        <stp>Symbol</stp>
        <tr r="A28" s="2"/>
      </tp>
      <tp t="s">
        <v>RBES1K5</v>
        <stp/>
        <stp>ContractData</stp>
        <stp>RBES1?2</stp>
        <stp>Symbol</stp>
        <tr r="A29" s="2"/>
      </tp>
      <tp t="s">
        <v>RBES1M5</v>
        <stp/>
        <stp>ContractData</stp>
        <stp>RBES1?3</stp>
        <stp>Symbol</stp>
        <tr r="A30" s="2"/>
      </tp>
      <tp t="s">
        <v>RBES1X5</v>
        <stp/>
        <stp>ContractData</stp>
        <stp>RBES1?8</stp>
        <stp>Symbol</stp>
        <tr r="A35" s="2"/>
      </tp>
      <tp t="s">
        <v>RBES1Z5</v>
        <stp/>
        <stp>ContractData</stp>
        <stp>RBES1?9</stp>
        <stp>Symbol</stp>
        <tr r="A36" s="2"/>
      </tp>
      <tp>
        <v>2.92E-2</v>
        <stp/>
        <stp>ContractData</stp>
        <stp>RBES1V5</stp>
        <stp>Open</stp>
        <stp/>
        <stp>T</stp>
        <tr r="C34" s="2"/>
      </tp>
      <tp>
        <v>0.1285</v>
        <stp/>
        <stp>ContractData</stp>
        <stp>RBES1U5</stp>
        <stp>Open</stp>
        <stp/>
        <stp>T</stp>
        <tr r="C33" s="2"/>
      </tp>
      <tp>
        <v>-5.1000000000000004E-3</v>
        <stp/>
        <stp>ContractData</stp>
        <stp>RBES1Z5</stp>
        <stp>Open</stp>
        <stp/>
        <stp>T</stp>
        <tr r="C36" s="2"/>
      </tp>
      <tp>
        <v>1.66E-2</v>
        <stp/>
        <stp>ContractData</stp>
        <stp>RBES1X5</stp>
        <stp>Open</stp>
        <stp/>
        <stp>T</stp>
        <tr r="C35" s="2"/>
      </tp>
      <tp>
        <v>-6.5000000000000006E-3</v>
        <stp/>
        <stp>ContractData</stp>
        <stp>RBES1K5</stp>
        <stp>NetLastTradeToday</stp>
        <stp/>
        <stp>T</stp>
        <tr r="G29" s="2"/>
        <tr r="H29" s="2"/>
      </tp>
      <tp>
        <v>3.8E-3</v>
        <stp/>
        <stp>ContractData</stp>
        <stp>RBES1J</stp>
        <stp>Settlement</stp>
        <stp/>
        <stp>T</stp>
        <tr r="AK2" s="6"/>
      </tp>
      <tp>
        <v>50</v>
        <stp/>
        <stp>ContractData</stp>
        <stp>RBEF6</stp>
        <stp>T_CVol</stp>
        <tr r="AA52" s="2"/>
        <tr r="I22" s="2"/>
      </tp>
      <tp>
        <v>1</v>
        <stp/>
        <stp>ContractData</stp>
        <stp>RBEG6</stp>
        <stp>T_CVol</stp>
        <tr r="AA53" s="2"/>
        <tr r="I23" s="2"/>
      </tp>
      <tp>
        <v>8049</v>
        <stp/>
        <stp>ContractData</stp>
        <stp>RBEN5</stp>
        <stp>T_CVol</stp>
        <tr r="AA46" s="2"/>
        <tr r="I16" s="2"/>
      </tp>
      <tp>
        <v>15994</v>
        <stp/>
        <stp>ContractData</stp>
        <stp>RBEM5</stp>
        <stp>T_CVol</stp>
        <tr r="AA45" s="2"/>
        <tr r="I15" s="2"/>
      </tp>
      <tp>
        <v>24370</v>
        <stp/>
        <stp>ContractData</stp>
        <stp>RBEJ5</stp>
        <stp>T_CVol</stp>
        <tr r="AA43" s="2"/>
        <tr r="I13" s="2"/>
      </tp>
      <tp>
        <v>22344</v>
        <stp/>
        <stp>ContractData</stp>
        <stp>RBEK5</stp>
        <stp>T_CVol</stp>
        <tr r="AA44" s="2"/>
        <tr r="I14" s="2"/>
      </tp>
      <tp>
        <v>6</v>
        <stp/>
        <stp>ContractData</stp>
        <stp>RBEH6</stp>
        <stp>T_CVol</stp>
        <tr r="AA54" s="2"/>
      </tp>
      <tp>
        <v>1560</v>
        <stp/>
        <stp>ContractData</stp>
        <stp>RBEV5</stp>
        <stp>T_CVol</stp>
        <tr r="AA49" s="2"/>
        <tr r="I19" s="2"/>
      </tp>
      <tp>
        <v>3644</v>
        <stp/>
        <stp>ContractData</stp>
        <stp>RBEU5</stp>
        <stp>T_CVol</stp>
        <tr r="AA48" s="2"/>
        <tr r="I18" s="2"/>
      </tp>
      <tp>
        <v>4495</v>
        <stp/>
        <stp>ContractData</stp>
        <stp>RBEQ5</stp>
        <stp>T_CVol</stp>
        <tr r="AA47" s="2"/>
        <tr r="I17" s="2"/>
      </tp>
      <tp>
        <v>1902</v>
        <stp/>
        <stp>ContractData</stp>
        <stp>RBEZ5</stp>
        <stp>T_CVol</stp>
        <tr r="AA51" s="2"/>
        <tr r="I21" s="2"/>
      </tp>
      <tp>
        <v>648</v>
        <stp/>
        <stp>ContractData</stp>
        <stp>RBEX5</stp>
        <stp>T_CVol</stp>
        <tr r="AA50" s="2"/>
        <tr r="I20" s="2"/>
      </tp>
      <tp>
        <v>-1.5E-3</v>
        <stp/>
        <stp>ContractData</stp>
        <stp>RBES1H6</stp>
        <stp>NetLastTradeToday</stp>
        <stp/>
        <stp>T</stp>
        <tr r="G39" s="2"/>
        <tr r="H39" s="2"/>
      </tp>
      <tp>
        <v>1.6199999999999999E-2</v>
        <stp/>
        <stp>ContractData</stp>
        <stp>RBES1X5</stp>
        <stp>LastTradeorSettle</stp>
        <stp/>
        <stp>T</stp>
        <tr r="F35" s="2"/>
        <tr r="R15" s="2"/>
      </tp>
      <tp>
        <v>-0.19850000000000001</v>
        <stp/>
        <stp>ContractData</stp>
        <stp>RBES1H</stp>
        <stp>Settlement</stp>
        <stp/>
        <stp>T</stp>
        <tr r="AK13" s="6"/>
      </tp>
      <tp>
        <v>-1.5E-3</v>
        <stp/>
        <stp>ContractData</stp>
        <stp>RBES1N5</stp>
        <stp>NetLastTradeToday</stp>
        <stp/>
        <stp>T</stp>
        <tr r="H31" s="2"/>
        <tr r="G31" s="2"/>
      </tp>
      <tp>
        <v>1.06E-2</v>
        <stp/>
        <stp>StudyData</stp>
        <stp>Consolidate(RBES1?9-RBES1?10,5X,RBES1?9-RBES1?10,1,0)</stp>
        <stp>Bar</stp>
        <stp/>
        <stp>Low</stp>
        <stp>D</stp>
        <stp/>
        <stp/>
        <stp/>
        <stp/>
        <stp/>
        <stp>T</stp>
        <tr r="G52" s="2"/>
      </tp>
      <tp>
        <v>1.84E-2</v>
        <stp/>
        <stp>ContractData</stp>
        <stp>RBES1N</stp>
        <stp>Settlement</stp>
        <stp/>
        <stp>T</stp>
        <tr r="AK5" s="6"/>
      </tp>
      <tp>
        <v>1.7500000000000002E-2</v>
        <stp/>
        <stp>ContractData</stp>
        <stp>RBES1M</stp>
        <stp>Settlement</stp>
        <stp/>
        <stp>T</stp>
        <tr r="AK4" s="6"/>
      </tp>
      <tp>
        <v>-3.5000000000000001E-3</v>
        <stp/>
        <stp>ContractData</stp>
        <stp>RBES1M5</stp>
        <stp>NetLastTradeToday</stp>
        <stp/>
        <stp>T</stp>
        <tr r="G30" s="2"/>
        <tr r="H30" s="2"/>
      </tp>
      <tp>
        <v>-5.0000000000000001E-3</v>
        <stp/>
        <stp>ContractData</stp>
        <stp>RBES1Z5</stp>
        <stp>High</stp>
        <stp/>
        <stp>T</stp>
        <tr r="D36" s="2"/>
      </tp>
      <tp>
        <v>1.7000000000000001E-2</v>
        <stp/>
        <stp>ContractData</stp>
        <stp>RBES1X5</stp>
        <stp>High</stp>
        <stp/>
        <stp>T</stp>
        <tr r="D35" s="2"/>
      </tp>
      <tp>
        <v>2.3599999999999999E-2</v>
        <stp/>
        <stp>ContractData</stp>
        <stp>RBES1Q5</stp>
        <stp>High</stp>
        <stp/>
        <stp>T</stp>
        <tr r="D32" s="2"/>
      </tp>
      <tp>
        <v>3.0000000000000002E-2</v>
        <stp/>
        <stp>ContractData</stp>
        <stp>RBES1V5</stp>
        <stp>High</stp>
        <stp/>
        <stp>T</stp>
        <tr r="D34" s="2"/>
      </tp>
      <tp>
        <v>0.1293</v>
        <stp/>
        <stp>ContractData</stp>
        <stp>RBES1U5</stp>
        <stp>High</stp>
        <stp/>
        <stp>T</stp>
        <tr r="D33" s="2"/>
      </tp>
      <tp>
        <v>4.5000000000000005E-3</v>
        <stp/>
        <stp>ContractData</stp>
        <stp>RBES1J5</stp>
        <stp>High</stp>
        <stp/>
        <stp>T</stp>
        <tr r="D28" s="2"/>
      </tp>
      <tp>
        <v>1.7400000000000002E-2</v>
        <stp/>
        <stp>ContractData</stp>
        <stp>RBES1K5</stp>
        <stp>High</stp>
        <stp/>
        <stp>T</stp>
        <tr r="D29" s="2"/>
      </tp>
      <tp>
        <v>-0.2</v>
        <stp/>
        <stp>ContractData</stp>
        <stp>RBES1H6</stp>
        <stp>High</stp>
        <stp/>
        <stp>T</stp>
        <tr r="D39" s="2"/>
      </tp>
      <tp>
        <v>1.8700000000000001E-2</v>
        <stp/>
        <stp>ContractData</stp>
        <stp>RBES1N5</stp>
        <stp>High</stp>
        <stp/>
        <stp>T</stp>
        <tr r="D31" s="2"/>
      </tp>
      <tp>
        <v>1.84E-2</v>
        <stp/>
        <stp>ContractData</stp>
        <stp>RBES1M5</stp>
        <stp>High</stp>
        <stp/>
        <stp>T</stp>
        <tr r="D30" s="2"/>
      </tp>
      <tp>
        <v>-1.7400000000000002E-2</v>
        <stp/>
        <stp>ContractData</stp>
        <stp>RBES1F6</stp>
        <stp>High</stp>
        <stp/>
        <stp>T</stp>
        <tr r="D37" s="2"/>
      </tp>
      <tp t="s">
        <v/>
        <stp/>
        <stp>ContractData</stp>
        <stp>RBES1G6</stp>
        <stp>High</stp>
        <stp/>
        <stp>T</stp>
        <tr r="D38" s="2"/>
      </tp>
      <tp>
        <v>2.24E-2</v>
        <stp/>
        <stp>ContractData</stp>
        <stp>RBES1Q5</stp>
        <stp>LastTradeorSettle</stp>
        <stp/>
        <stp>T</stp>
        <tr r="F32" s="2"/>
        <tr r="O15" s="2"/>
      </tp>
      <tp>
        <v>-1E-4</v>
        <stp/>
        <stp>ContractData</stp>
        <stp>RBES1F6</stp>
        <stp>NetLastTradeToday</stp>
        <stp/>
        <stp>T</stp>
        <tr r="G37" s="2"/>
        <tr r="H37" s="2"/>
      </tp>
      <tp>
        <v>2.8300000000000002E-2</v>
        <stp/>
        <stp>ContractData</stp>
        <stp>RBES1V5</stp>
        <stp>LastTradeorSettle</stp>
        <stp/>
        <stp>T</stp>
        <tr r="F34" s="2"/>
        <tr r="Q15" s="2"/>
      </tp>
      <tp>
        <v>-2.6000000000000002E-2</v>
        <stp/>
        <stp>ContractData</stp>
        <stp>RBES1G</stp>
        <stp>Settlement</stp>
        <stp/>
        <stp>T</stp>
        <tr r="AK12" s="6"/>
      </tp>
      <tp t="s">
        <v/>
        <stp/>
        <stp>ContractData</stp>
        <stp>RBES1G6</stp>
        <stp>NetLastTradeToday</stp>
        <stp/>
        <stp>T</stp>
        <tr r="H38" s="2"/>
        <tr r="G38" s="2"/>
      </tp>
      <tp>
        <v>-1.7299999999999999E-2</v>
        <stp/>
        <stp>ContractData</stp>
        <stp>RBES1F</stp>
        <stp>Settlement</stp>
        <stp/>
        <stp>T</stp>
        <tr r="AK11" s="6"/>
      </tp>
      <tp>
        <v>9.7000000000000003E-3</v>
        <stp/>
        <stp>ContractData</stp>
        <stp>SPREAD(RBES1?10-RBES1?11)</stp>
        <stp>Ask</stp>
        <stp/>
        <stp>T</stp>
        <tr r="T42" s="2"/>
      </tp>
      <tp>
        <v>7.5000000000000006E-3</v>
        <stp/>
        <stp>ContractData</stp>
        <stp>SPREAD(RBES1?10-RBES1?11)</stp>
        <stp>Bid</stp>
        <stp/>
        <stp>T</stp>
        <tr r="T43" s="2"/>
      </tp>
      <tp>
        <v>0.12590000000000001</v>
        <stp/>
        <stp>ContractData</stp>
        <stp>RBES1U5</stp>
        <stp>LastTradeorSettle</stp>
        <stp/>
        <stp>T</stp>
        <tr r="F33" s="2"/>
        <tr r="P15" s="2"/>
      </tp>
      <tp>
        <v>0</v>
        <stp/>
        <stp>ContractData</stp>
        <stp>RBES1Z5</stp>
        <stp>NetLastTradeToday</stp>
        <stp/>
        <stp>T</stp>
        <tr r="H36" s="2"/>
        <tr r="G36" s="2"/>
      </tp>
      <tp>
        <v>-3.5000000000000001E-3</v>
        <stp/>
        <stp>ContractData</stp>
        <stp>RBES1J5</stp>
        <stp>LastTradeorSettle</stp>
        <stp/>
        <stp>T</stp>
        <tr r="F28" s="2"/>
        <tr r="K15" s="2"/>
      </tp>
      <tp>
        <v>1.0500000000000001E-2</v>
        <stp/>
        <stp>ContractData</stp>
        <stp>RBES1K5</stp>
        <stp>LastTradeorSettle</stp>
        <stp/>
        <stp>T</stp>
        <tr r="F29" s="2"/>
        <tr r="L15" s="2"/>
      </tp>
      <tp>
        <v>-5.1000000000000004E-3</v>
        <stp/>
        <stp>ContractData</stp>
        <stp>RBES1Z</stp>
        <stp>Settlement</stp>
        <stp/>
        <stp>T</stp>
        <tr r="AK10" s="6"/>
      </tp>
      <tp>
        <v>-3.0000000000000003E-4</v>
        <stp/>
        <stp>ContractData</stp>
        <stp>RBES1X5</stp>
        <stp>NetLastTradeToday</stp>
        <stp/>
        <stp>T</stp>
        <tr r="H35" s="2"/>
        <tr r="G35" s="2"/>
      </tp>
      <tp>
        <v>-0.2</v>
        <stp/>
        <stp>ContractData</stp>
        <stp>RBES1H6</stp>
        <stp>LastTradeorSettle</stp>
        <stp/>
        <stp>T</stp>
        <tr r="F39" s="2"/>
      </tp>
      <tp>
        <v>1.1900000000000001E-2</v>
        <stp/>
        <stp>StudyData</stp>
        <stp>Consolidate(RBES1?9-RBES1?10,5X,RBES1?9-RBES1?10,1,0)</stp>
        <stp>Bar</stp>
        <stp/>
        <stp>Close</stp>
        <stp>D</stp>
        <stp>0</stp>
        <stp/>
        <stp/>
        <stp/>
        <stp/>
        <stp>T</stp>
        <tr r="I52" s="2"/>
      </tp>
      <tp>
        <v>1.6500000000000001E-2</v>
        <stp/>
        <stp>ContractData</stp>
        <stp>RBES1X</stp>
        <stp>Settlement</stp>
        <stp/>
        <stp>T</stp>
        <tr r="AK9" s="6"/>
      </tp>
      <tp>
        <v>1.6900000000000002E-2</v>
        <stp/>
        <stp>ContractData</stp>
        <stp>RBES1N5</stp>
        <stp>LastTradeorSettle</stp>
        <stp/>
        <stp>T</stp>
        <tr r="F31" s="2"/>
        <tr r="N15" s="2"/>
      </tp>
      <tp>
        <v>42068.441886574074</v>
        <stp/>
        <stp>SystemInfo</stp>
        <stp>Linetime</stp>
        <tr r="C56" s="2"/>
        <tr r="C55" s="2"/>
        <tr r="G55" s="2"/>
      </tp>
      <tp>
        <v>-1.0800000000000001E-2</v>
        <stp/>
        <stp>ContractData</stp>
        <stp>F.RBE?9</stp>
        <stp>NetLastQuoteToday</stp>
        <stp/>
        <stp>T</stp>
        <tr r="U10" s="6"/>
      </tp>
      <tp>
        <v>-1.23E-2</v>
        <stp/>
        <stp>ContractData</stp>
        <stp>F.RBE?8</stp>
        <stp>NetLastQuoteToday</stp>
        <stp/>
        <stp>T</stp>
        <tr r="U9" s="6"/>
      </tp>
      <tp>
        <v>-1.3600000000000001E-2</v>
        <stp/>
        <stp>ContractData</stp>
        <stp>F.RBE?7</stp>
        <stp>NetLastQuoteToday</stp>
        <stp/>
        <stp>T</stp>
        <tr r="U8" s="6"/>
      </tp>
      <tp>
        <v>-1.77E-2</v>
        <stp/>
        <stp>ContractData</stp>
        <stp>F.RBE?6</stp>
        <stp>NetLastQuoteToday</stp>
        <stp/>
        <stp>T</stp>
        <tr r="U7" s="6"/>
      </tp>
      <tp>
        <v>-1.7899999999999999E-2</v>
        <stp/>
        <stp>ContractData</stp>
        <stp>F.RBE?5</stp>
        <stp>NetLastQuoteToday</stp>
        <stp/>
        <stp>T</stp>
        <tr r="U6" s="6"/>
      </tp>
      <tp>
        <v>-1.9400000000000001E-2</v>
        <stp/>
        <stp>ContractData</stp>
        <stp>F.RBE?4</stp>
        <stp>NetLastQuoteToday</stp>
        <stp/>
        <stp>T</stp>
        <tr r="U5" s="6"/>
      </tp>
      <tp>
        <v>-2.3E-2</v>
        <stp/>
        <stp>ContractData</stp>
        <stp>F.RBE?3</stp>
        <stp>NetLastQuoteToday</stp>
        <stp/>
        <stp>T</stp>
        <tr r="U4" s="6"/>
      </tp>
      <tp>
        <v>-2.9600000000000001E-2</v>
        <stp/>
        <stp>ContractData</stp>
        <stp>F.RBE?2</stp>
        <stp>NetLastQuoteToday</stp>
        <stp/>
        <stp>T</stp>
        <tr r="U3" s="6"/>
      </tp>
      <tp>
        <v>-3.6900000000000002E-2</v>
        <stp/>
        <stp>ContractData</stp>
        <stp>F.RBE?1</stp>
        <stp>NetLastQuoteToday</stp>
        <stp/>
        <stp>T</stp>
        <tr r="U2" s="6"/>
      </tp>
      <tp>
        <v>1.4E-2</v>
        <stp/>
        <stp>ContractData</stp>
        <stp>RBES1M5</stp>
        <stp>LastTradeorSettle</stp>
        <stp/>
        <stp>T</stp>
        <tr r="F30" s="2"/>
        <tr r="M15" s="2"/>
      </tp>
      <tp>
        <v>2.35E-2</v>
        <stp/>
        <stp>ContractData</stp>
        <stp>RBES1Q</stp>
        <stp>Settlement</stp>
        <stp/>
        <stp>T</stp>
        <tr r="AK6" s="6"/>
      </tp>
      <tp>
        <v>-1.1000000000000001E-3</v>
        <stp/>
        <stp>ContractData</stp>
        <stp>RBES1Q5</stp>
        <stp>NetLastTradeToday</stp>
        <stp/>
        <stp>T</stp>
        <tr r="G32" s="2"/>
        <tr r="H32" s="2"/>
      </tp>
      <tp>
        <v>-1.3000000000000002E-3</v>
        <stp/>
        <stp>ContractData</stp>
        <stp>RBES1V5</stp>
        <stp>NetLastTradeToday</stp>
        <stp/>
        <stp>T</stp>
        <tr r="G34" s="2"/>
        <tr r="H34" s="2"/>
      </tp>
      <tp>
        <v>-1.7400000000000002E-2</v>
        <stp/>
        <stp>ContractData</stp>
        <stp>RBES1F6</stp>
        <stp>LastTradeorSettle</stp>
        <stp/>
        <stp>T</stp>
        <tr r="T15" s="2"/>
        <tr r="F37" s="2"/>
      </tp>
      <tp t="s">
        <v>RBES1Z5</v>
        <stp/>
        <stp>ContractData</stp>
        <stp>RBES1Z</stp>
        <stp>Symbol</stp>
        <tr r="S11" s="2"/>
      </tp>
      <tp t="s">
        <v>RBES1X5</v>
        <stp/>
        <stp>ContractData</stp>
        <stp>RBES1X</stp>
        <stp>Symbol</stp>
        <tr r="R11" s="2"/>
      </tp>
      <tp t="s">
        <v>RBES1V5</v>
        <stp/>
        <stp>ContractData</stp>
        <stp>RBES1V</stp>
        <stp>Symbol</stp>
        <tr r="Q11" s="2"/>
      </tp>
      <tp t="s">
        <v>RBES1U5</v>
        <stp/>
        <stp>ContractData</stp>
        <stp>RBES1U</stp>
        <stp>Symbol</stp>
        <tr r="P11" s="2"/>
      </tp>
      <tp t="s">
        <v>RBES1Q5</v>
        <stp/>
        <stp>ContractData</stp>
        <stp>RBES1Q</stp>
        <stp>Symbol</stp>
        <tr r="O11" s="2"/>
      </tp>
      <tp t="s">
        <v>RBES1N5</v>
        <stp/>
        <stp>ContractData</stp>
        <stp>RBES1N</stp>
        <stp>Symbol</stp>
        <tr r="N11" s="2"/>
      </tp>
      <tp t="s">
        <v>RBES1M5</v>
        <stp/>
        <stp>ContractData</stp>
        <stp>RBES1M</stp>
        <stp>Symbol</stp>
        <tr r="M11" s="2"/>
      </tp>
      <tp t="s">
        <v>RBES1K5</v>
        <stp/>
        <stp>ContractData</stp>
        <stp>RBES1K</stp>
        <stp>Symbol</stp>
        <tr r="L11" s="2"/>
      </tp>
      <tp t="s">
        <v>RBES1J5</v>
        <stp/>
        <stp>ContractData</stp>
        <stp>RBES1J</stp>
        <stp>Symbol</stp>
        <tr r="K11" s="2"/>
      </tp>
      <tp t="s">
        <v>RBES1G6</v>
        <stp/>
        <stp>ContractData</stp>
        <stp>RBES1G</stp>
        <stp>Symbol</stp>
        <tr r="U11" s="2"/>
      </tp>
      <tp t="s">
        <v>RBES1F6</v>
        <stp/>
        <stp>ContractData</stp>
        <stp>RBES1F</stp>
        <stp>Symbol</stp>
        <tr r="T11" s="2"/>
      </tp>
      <tp t="s">
        <v/>
        <stp/>
        <stp>ContractData</stp>
        <stp>RBES1G6</stp>
        <stp>LastTradeorSettle</stp>
        <stp/>
        <stp>T</stp>
        <tr r="U15" s="2"/>
        <tr r="F38" s="2"/>
      </tp>
      <tp>
        <v>2.9600000000000001E-2</v>
        <stp/>
        <stp>ContractData</stp>
        <stp>RBES1V</stp>
        <stp>Settlement</stp>
        <stp/>
        <stp>T</stp>
        <tr r="AK8" s="6"/>
      </tp>
      <tp>
        <v>-3.7000000000000002E-3</v>
        <stp/>
        <stp>StudyData</stp>
        <stp>Consolidate(RBES1?2-RBES1?3,5X,RBES1?2-RBES1?3,1,0)</stp>
        <stp>Bar</stp>
        <stp/>
        <stp>Close</stp>
        <stp>D</stp>
        <stp/>
        <stp/>
        <stp/>
        <stp/>
        <stp/>
        <stp>T</stp>
        <tr r="L44" s="2"/>
        <tr r="T35" s="6"/>
        <tr r="H45" s="2"/>
      </tp>
      <tp>
        <v>-5.4000000000000003E-3</v>
        <stp/>
        <stp>StudyData</stp>
        <stp>Consolidate(RBES1?4-RBES1?5,5X,RBES1?4-RBES1?5,1,0)</stp>
        <stp>Bar</stp>
        <stp/>
        <stp>Close</stp>
        <stp>D</stp>
        <stp/>
        <stp/>
        <stp/>
        <stp/>
        <stp/>
        <stp>T</stp>
        <tr r="N44" s="2"/>
        <tr r="T37" s="6"/>
        <tr r="H47" s="2"/>
      </tp>
      <tp>
        <v>9.7799999999999998E-2</v>
        <stp/>
        <stp>StudyData</stp>
        <stp>Consolidate(RBES1?6-RBES1?7,5X,RBES1?6-RBES1?7,1,0)</stp>
        <stp>Bar</stp>
        <stp/>
        <stp>Close</stp>
        <stp>D</stp>
        <stp/>
        <stp/>
        <stp/>
        <stp/>
        <stp/>
        <stp>T</stp>
        <tr r="Q44" s="2"/>
        <tr r="P44" s="2"/>
        <tr r="T39" s="6"/>
        <tr r="H49" s="2"/>
      </tp>
      <tp>
        <v>2.1499999999999998E-2</v>
        <stp/>
        <stp>StudyData</stp>
        <stp>Consolidate(RBES1?8-RBES1?9,5X,RBES1?8-RBES1?9,1,0)</stp>
        <stp>Bar</stp>
        <stp/>
        <stp>Close</stp>
        <stp>D</stp>
        <stp/>
        <stp/>
        <stp/>
        <stp/>
        <stp/>
        <stp>T</stp>
        <tr r="R44" s="2"/>
        <tr r="T41" s="6"/>
        <tr r="H51" s="2"/>
      </tp>
      <tp>
        <v>-1.29E-2</v>
        <stp/>
        <stp>StudyData</stp>
        <stp>Consolidate(RBES1?1-RBES1?2,5X,RBES1?1-RBES1?2,1,0)</stp>
        <stp>Bar</stp>
        <stp/>
        <stp>Close</stp>
        <stp>D</stp>
        <stp/>
        <stp/>
        <stp/>
        <stp/>
        <stp/>
        <stp>T</stp>
        <tr r="K44" s="2"/>
        <tr r="T34" s="6"/>
        <tr r="H44" s="2"/>
      </tp>
      <tp>
        <v>-0.1037</v>
        <stp/>
        <stp>StudyData</stp>
        <stp>Consolidate(RBES1?5-RBES1?6,5X,RBES1?5-RBES1?6,1,0)</stp>
        <stp>Bar</stp>
        <stp/>
        <stp>Close</stp>
        <stp>D</stp>
        <stp/>
        <stp/>
        <stp/>
        <stp/>
        <stp/>
        <stp>T</stp>
        <tr r="O44" s="2"/>
        <tr r="T38" s="6"/>
        <tr r="H48" s="2"/>
      </tp>
      <tp>
        <v>-2.8999999999999998E-3</v>
        <stp/>
        <stp>StudyData</stp>
        <stp>Consolidate(RBES1?3-RBES1?4,5X,RBES1?3-RBES3?4,1,0)</stp>
        <stp>Bar</stp>
        <stp/>
        <stp>Close</stp>
        <stp>D</stp>
        <stp/>
        <stp/>
        <stp/>
        <stp/>
        <stp/>
        <stp>T</stp>
        <tr r="H46" s="2"/>
      </tp>
      <tp>
        <v>-2.3E-3</v>
        <stp/>
        <stp>StudyData</stp>
        <stp>Consolidate(RBES1?3-RBES1?4,5X,RBES1?3-RBES1?4,1,0)</stp>
        <stp>Bar</stp>
        <stp/>
        <stp>Close</stp>
        <stp>D</stp>
        <stp/>
        <stp/>
        <stp/>
        <stp/>
        <stp/>
        <stp>T</stp>
        <tr r="M44" s="2"/>
        <tr r="T36" s="6"/>
      </tp>
      <tp>
        <v>1.24E-2</v>
        <stp/>
        <stp>StudyData</stp>
        <stp>Consolidate(RBES1?7-RBES1?8,5X,RBES1?7-RBES1?8,1,0)</stp>
        <stp>Bar</stp>
        <stp/>
        <stp>Close</stp>
        <stp>D</stp>
        <stp/>
        <stp/>
        <stp/>
        <stp/>
        <stp/>
        <stp>T</stp>
        <tr r="T40" s="6"/>
        <tr r="H50" s="2"/>
      </tp>
      <tp t="s">
        <v>RBEH6</v>
        <stp/>
        <stp>ContractData</stp>
        <stp>RBE?12</stp>
        <stp>Symbol</stp>
        <tr r="Q13" s="6"/>
      </tp>
      <tp t="s">
        <v>RBEG6</v>
        <stp/>
        <stp>ContractData</stp>
        <stp>RBE?11</stp>
        <stp>Symbol</stp>
        <tr r="Q12" s="6"/>
        <tr r="A23" s="2"/>
      </tp>
      <tp t="s">
        <v>RBEF6</v>
        <stp/>
        <stp>ContractData</stp>
        <stp>RBE?10</stp>
        <stp>Symbol</stp>
        <tr r="Q11" s="6"/>
        <tr r="A22" s="2"/>
      </tp>
      <tp>
        <v>0.1288</v>
        <stp/>
        <stp>ContractData</stp>
        <stp>RBES1U</stp>
        <stp>Settlement</stp>
        <stp/>
        <stp>T</stp>
        <tr r="AK7" s="6"/>
      </tp>
      <tp>
        <v>-2.9000000000000002E-3</v>
        <stp/>
        <stp>ContractData</stp>
        <stp>RBES1U5</stp>
        <stp>NetLastTradeToday</stp>
        <stp/>
        <stp>T</stp>
        <tr r="H33" s="2"/>
        <tr r="G33" s="2"/>
      </tp>
      <tp>
        <v>-3.7000000000000002E-3</v>
        <stp/>
        <stp>StudyData</stp>
        <stp>Consolidate(RBES1?2-RBES1?3,5X,RBES1?2-RBES1?3,1,0)</stp>
        <stp>Bar</stp>
        <stp/>
        <stp>Close</stp>
        <stp>D</stp>
        <stp>0</stp>
        <stp/>
        <stp/>
        <stp/>
        <stp/>
        <stp>T</stp>
        <tr r="I45" s="2"/>
      </tp>
      <tp>
        <v>-5.4000000000000003E-3</v>
        <stp/>
        <stp>StudyData</stp>
        <stp>Consolidate(RBES1?4-RBES1?5,5X,RBES1?4-RBES1?5,1,0)</stp>
        <stp>Bar</stp>
        <stp/>
        <stp>Close</stp>
        <stp>D</stp>
        <stp>0</stp>
        <stp/>
        <stp/>
        <stp/>
        <stp/>
        <stp>T</stp>
        <tr r="I47" s="2"/>
      </tp>
      <tp>
        <v>9.7799999999999998E-2</v>
        <stp/>
        <stp>StudyData</stp>
        <stp>Consolidate(RBES1?6-RBES1?7,5X,RBES1?6-RBES1?7,1,0)</stp>
        <stp>Bar</stp>
        <stp/>
        <stp>Close</stp>
        <stp>D</stp>
        <stp>0</stp>
        <stp/>
        <stp/>
        <stp/>
        <stp/>
        <stp>T</stp>
        <tr r="I49" s="2"/>
      </tp>
      <tp>
        <v>2.1499999999999998E-2</v>
        <stp/>
        <stp>StudyData</stp>
        <stp>Consolidate(RBES1?8-RBES1?9,5X,RBES1?8-RBES1?9,1,0)</stp>
        <stp>Bar</stp>
        <stp/>
        <stp>Close</stp>
        <stp>D</stp>
        <stp>0</stp>
        <stp/>
        <stp/>
        <stp/>
        <stp/>
        <stp>T</stp>
        <tr r="I51" s="2"/>
      </tp>
      <tp>
        <v>-1.29E-2</v>
        <stp/>
        <stp>StudyData</stp>
        <stp>Consolidate(RBES1?1-RBES1?2,5X,RBES1?1-RBES1?2,1,0)</stp>
        <stp>Bar</stp>
        <stp/>
        <stp>Close</stp>
        <stp>D</stp>
        <stp>0</stp>
        <stp/>
        <stp/>
        <stp/>
        <stp/>
        <stp>T</stp>
        <tr r="I44" s="2"/>
      </tp>
      <tp>
        <v>-0.1037</v>
        <stp/>
        <stp>StudyData</stp>
        <stp>Consolidate(RBES1?5-RBES1?6,5X,RBES1?5-RBES1?6,1,0)</stp>
        <stp>Bar</stp>
        <stp/>
        <stp>Close</stp>
        <stp>D</stp>
        <stp>0</stp>
        <stp/>
        <stp/>
        <stp/>
        <stp/>
        <stp>T</stp>
        <tr r="I48" s="2"/>
      </tp>
      <tp>
        <v>-2.3E-3</v>
        <stp/>
        <stp>StudyData</stp>
        <stp>Consolidate(RBES1?3-RBES1?4,5X,RBES1?3-RBES1?4,1,0)</stp>
        <stp>Bar</stp>
        <stp/>
        <stp>Close</stp>
        <stp>D</stp>
        <stp>0</stp>
        <stp/>
        <stp/>
        <stp/>
        <stp/>
        <stp>T</stp>
        <tr r="I46" s="2"/>
      </tp>
      <tp t="s">
        <v>SEP</v>
        <stp/>
        <stp>ContractData</stp>
        <stp>RBEU5</stp>
        <stp>ContractMonth</stp>
        <tr r="B7" s="6"/>
      </tp>
      <tp t="s">
        <v>OCT</v>
        <stp/>
        <stp>ContractData</stp>
        <stp>RBEV5</stp>
        <stp>ContractMonth</stp>
        <tr r="B8" s="6"/>
      </tp>
      <tp t="s">
        <v>AUG</v>
        <stp/>
        <stp>ContractData</stp>
        <stp>RBEQ5</stp>
        <stp>ContractMonth</stp>
        <tr r="B6" s="6"/>
      </tp>
      <tp t="s">
        <v>NOV</v>
        <stp/>
        <stp>ContractData</stp>
        <stp>RBEX5</stp>
        <stp>ContractMonth</stp>
        <tr r="B9" s="6"/>
      </tp>
      <tp t="s">
        <v>DEC</v>
        <stp/>
        <stp>ContractData</stp>
        <stp>RBEZ5</stp>
        <stp>ContractMonth</stp>
        <tr r="B10" s="6"/>
      </tp>
      <tp t="s">
        <v>JUN</v>
        <stp/>
        <stp>ContractData</stp>
        <stp>RBEM5</stp>
        <stp>ContractMonth</stp>
        <tr r="B4" s="6"/>
      </tp>
      <tp t="s">
        <v>JUL</v>
        <stp/>
        <stp>ContractData</stp>
        <stp>RBEN5</stp>
        <stp>ContractMonth</stp>
        <tr r="B5" s="6"/>
      </tp>
      <tp t="s">
        <v>APR</v>
        <stp/>
        <stp>ContractData</stp>
        <stp>RBEJ5</stp>
        <stp>ContractMonth</stp>
        <tr r="B2" s="6"/>
      </tp>
      <tp t="s">
        <v>MAY</v>
        <stp/>
        <stp>ContractData</stp>
        <stp>RBEK5</stp>
        <stp>ContractMonth</stp>
        <tr r="B3" s="6"/>
      </tp>
      <tp>
        <v>1575</v>
        <stp/>
        <stp>ContractData</stp>
        <stp>RBES1Q</stp>
        <stp>T_CVol</stp>
        <tr r="AA60" s="2"/>
      </tp>
      <tp>
        <v>725</v>
        <stp/>
        <stp>ContractData</stp>
        <stp>RBES1U</stp>
        <stp>T_CVol</stp>
        <tr r="AA61" s="2"/>
      </tp>
      <tp>
        <v>320</v>
        <stp/>
        <stp>ContractData</stp>
        <stp>RBES1V</stp>
        <stp>T_CVol</stp>
        <tr r="AA62" s="2"/>
      </tp>
      <tp>
        <v>7711</v>
        <stp/>
        <stp>ContractData</stp>
        <stp>RBES1K</stp>
        <stp>T_CVol</stp>
        <tr r="AA57" s="2"/>
      </tp>
      <tp>
        <v>11827</v>
        <stp/>
        <stp>ContractData</stp>
        <stp>RBES1J</stp>
        <stp>T_CVol</stp>
        <tr r="AA56" s="2"/>
      </tp>
      <tp>
        <v>4139</v>
        <stp/>
        <stp>ContractData</stp>
        <stp>RBES1M</stp>
        <stp>T_CVol</stp>
        <tr r="AA58" s="2"/>
      </tp>
      <tp>
        <v>1896</v>
        <stp/>
        <stp>ContractData</stp>
        <stp>RBES1N</stp>
        <stp>T_CVol</stp>
        <tr r="AA59" s="2"/>
      </tp>
      <tp>
        <v>1.35E-2</v>
        <stp/>
        <stp>StudyData</stp>
        <stp>Consolidate(RBES1?7-RBES1?8,5X,RBES1?7-RBES1?8,1,0)</stp>
        <stp>Bar</stp>
        <stp/>
        <stp>Open</stp>
        <stp>D</stp>
        <stp/>
        <stp/>
        <stp/>
        <stp/>
        <stp/>
        <stp>T</stp>
        <tr r="E50" s="2"/>
      </tp>
      <tp>
        <v>-8.9999999999999998E-4</v>
        <stp/>
        <stp>StudyData</stp>
        <stp>Consolidate(RBES1?3-RBES1?4,5X,RBES1?3-RBES1?4,1,0)</stp>
        <stp>Bar</stp>
        <stp/>
        <stp>Open</stp>
        <stp>D</stp>
        <stp/>
        <stp/>
        <stp/>
        <stp/>
        <stp/>
        <stp>T</stp>
        <tr r="E46" s="2"/>
      </tp>
      <tp>
        <v>-4.7999999999999996E-3</v>
        <stp/>
        <stp>StudyData</stp>
        <stp>Consolidate(RBES1?4-RBES1?5,5X,RBES1?4-RBES1?5,1,0)</stp>
        <stp>Bar</stp>
        <stp/>
        <stp>Open</stp>
        <stp>D</stp>
        <stp/>
        <stp/>
        <stp/>
        <stp/>
        <stp/>
        <stp>T</stp>
        <tr r="E47" s="2"/>
      </tp>
      <tp>
        <v>9.9599999999999994E-2</v>
        <stp/>
        <stp>StudyData</stp>
        <stp>Consolidate(RBES1?6-RBES1?7,5X,RBES1?6-RBES1?7,1,0)</stp>
        <stp>Bar</stp>
        <stp/>
        <stp>Open</stp>
        <stp>D</stp>
        <stp/>
        <stp/>
        <stp/>
        <stp/>
        <stp/>
        <stp>T</stp>
        <tr r="E49" s="2"/>
      </tp>
      <tp>
        <v>2.1399999999999999E-2</v>
        <stp/>
        <stp>StudyData</stp>
        <stp>Consolidate(RBES1?8-RBES1?9,5X,RBES1?8-RBES1?9,1,0)</stp>
        <stp>Bar</stp>
        <stp/>
        <stp>Open</stp>
        <stp>D</stp>
        <stp/>
        <stp/>
        <stp/>
        <stp/>
        <stp/>
        <stp>T</stp>
        <tr r="E51" s="2"/>
      </tp>
      <tp>
        <v>-1.34E-2</v>
        <stp/>
        <stp>StudyData</stp>
        <stp>Consolidate(RBES1?1-RBES1?2,5X,RBES1?1-RBES1?2,1,0)</stp>
        <stp>Bar</stp>
        <stp/>
        <stp>Open</stp>
        <stp>D</stp>
        <stp/>
        <stp/>
        <stp/>
        <stp/>
        <stp/>
        <stp>T</stp>
        <tr r="E44" s="2"/>
      </tp>
      <tp>
        <v>-0.1055</v>
        <stp/>
        <stp>StudyData</stp>
        <stp>Consolidate(RBES1?5-RBES1?6,5X,RBES1?5-RBES1?6,1,0)</stp>
        <stp>Bar</stp>
        <stp/>
        <stp>Open</stp>
        <stp>D</stp>
        <stp/>
        <stp/>
        <stp/>
        <stp/>
        <stp/>
        <stp>T</stp>
        <tr r="E48" s="2"/>
      </tp>
      <tp t="s">
        <v>RBES1H6</v>
        <stp/>
        <stp>ContractData</stp>
        <stp>RBES1?12</stp>
        <stp>Symbol</stp>
        <tr r="A39" s="2"/>
      </tp>
      <tp t="s">
        <v>RBES1F6</v>
        <stp/>
        <stp>ContractData</stp>
        <stp>RBES1?10</stp>
        <stp>Symbol</stp>
        <tr r="A37" s="2"/>
      </tp>
      <tp t="s">
        <v>RBES1G6</v>
        <stp/>
        <stp>ContractData</stp>
        <stp>RBES1?11</stp>
        <stp>Symbol</stp>
        <tr r="A38" s="2"/>
      </tp>
      <tp>
        <v>-1.1999999999999999E-3</v>
        <stp/>
        <stp>StudyData</stp>
        <stp>Consolidate(RBES1?2-RBES1?3,5X,RBES1?2-RBES3?2,1,0)</stp>
        <stp>Bar</stp>
        <stp/>
        <stp>Open</stp>
        <stp>D</stp>
        <stp/>
        <stp/>
        <stp/>
        <stp/>
        <stp/>
        <stp>T</stp>
        <tr r="E45" s="2"/>
      </tp>
      <tp>
        <v>1.35E-2</v>
        <stp/>
        <stp>StudyData</stp>
        <stp>Consolidate(RBES1?7-RBES1?8,5X,RBES1?7-RBES1?8,1,0)</stp>
        <stp>Bar</stp>
        <stp/>
        <stp>High</stp>
        <stp>D</stp>
        <stp/>
        <stp/>
        <stp/>
        <stp/>
        <stp/>
        <stp>T</stp>
        <tr r="F50" s="2"/>
      </tp>
      <tp>
        <v>-1.0999999999999999E-2</v>
        <stp/>
        <stp>StudyData</stp>
        <stp>Consolidate(RBES1?1-RBES1?2,5X,RBES1?1-RBES1?2,1,0)</stp>
        <stp>Bar</stp>
        <stp/>
        <stp>High</stp>
        <stp>D</stp>
        <stp/>
        <stp/>
        <stp/>
        <stp/>
        <stp/>
        <stp>T</stp>
        <tr r="F44" s="2"/>
      </tp>
      <tp>
        <v>-0.1036</v>
        <stp/>
        <stp>StudyData</stp>
        <stp>Consolidate(RBES1?5-RBES1?6,5X,RBES1?5-RBES1?6,1,0)</stp>
        <stp>Bar</stp>
        <stp/>
        <stp>High</stp>
        <stp>D</stp>
        <stp/>
        <stp/>
        <stp/>
        <stp/>
        <stp/>
        <stp>T</stp>
        <tr r="F48" s="2"/>
      </tp>
      <tp>
        <v>-5.0000000000000001E-4</v>
        <stp/>
        <stp>StudyData</stp>
        <stp>Consolidate(RBES1?2-RBES1?3,5X,RBES1?2-RBES1?3,1,0)</stp>
        <stp>Bar</stp>
        <stp/>
        <stp>High</stp>
        <stp>D</stp>
        <stp/>
        <stp/>
        <stp/>
        <stp/>
        <stp/>
        <stp>T</stp>
        <tr r="F45" s="2"/>
      </tp>
      <tp>
        <v>-4.7000000000000002E-3</v>
        <stp/>
        <stp>StudyData</stp>
        <stp>Consolidate(RBES1?4-RBES1?5,5X,RBES1?4-RBES1?5,1,0)</stp>
        <stp>Bar</stp>
        <stp/>
        <stp>High</stp>
        <stp>D</stp>
        <stp/>
        <stp/>
        <stp/>
        <stp/>
        <stp/>
        <stp>T</stp>
        <tr r="F47" s="2"/>
      </tp>
      <tp>
        <v>0.1004</v>
        <stp/>
        <stp>StudyData</stp>
        <stp>Consolidate(RBES1?6-RBES1?7,5X,RBES1?6-RBES1?7,1,0)</stp>
        <stp>Bar</stp>
        <stp/>
        <stp>High</stp>
        <stp>D</stp>
        <stp/>
        <stp/>
        <stp/>
        <stp/>
        <stp/>
        <stp>T</stp>
        <tr r="F49" s="2"/>
      </tp>
      <tp>
        <v>2.2599999999999999E-2</v>
        <stp/>
        <stp>StudyData</stp>
        <stp>Consolidate(RBES1?8-RBES1?9,5X,RBES1?8-RBES1?9,1,0)</stp>
        <stp>Bar</stp>
        <stp/>
        <stp>High</stp>
        <stp>D</stp>
        <stp/>
        <stp/>
        <stp/>
        <stp/>
        <stp/>
        <stp>T</stp>
        <tr r="F51" s="2"/>
      </tp>
      <tp>
        <v>-1E-4</v>
        <stp/>
        <stp>StudyData</stp>
        <stp>Consolidate(RBES1?3-RBES1?4,5X,RBES1?3-RBES1?4,1,0)</stp>
        <stp>Bar</stp>
        <stp/>
        <stp>High</stp>
        <stp>D</stp>
        <stp/>
        <stp/>
        <stp/>
        <stp/>
        <stp/>
        <stp>T</stp>
        <tr r="F46" s="2"/>
      </tp>
      <tp t="s">
        <v>JAN</v>
        <stp/>
        <stp>ContractData</stp>
        <stp>RBEF6</stp>
        <stp>ContractMonth</stp>
        <tr r="B11" s="6"/>
      </tp>
      <tp t="s">
        <v>FEB</v>
        <stp/>
        <stp>ContractData</stp>
        <stp>RBEG6</stp>
        <stp>ContractMonth</stp>
        <tr r="B12" s="6"/>
      </tp>
      <tp t="s">
        <v>MAR</v>
        <stp/>
        <stp>ContractData</stp>
        <stp>RBEH6</stp>
        <stp>ContractMonth</stp>
        <tr r="B13" s="6"/>
      </tp>
      <tp>
        <v>1.1900000000000001E-2</v>
        <stp/>
        <stp>StudyData</stp>
        <stp>Consolidate(RBES1?9-RBES1?10,5X,RBES1?9-RBES1?10,1,0)</stp>
        <stp>Bar</stp>
        <stp/>
        <stp>Close</stp>
        <stp>D</stp>
        <stp/>
        <stp/>
        <stp/>
        <stp/>
        <stp/>
        <stp>T</stp>
        <tr r="S44" s="2"/>
        <tr r="T42" s="6"/>
        <tr r="H52" s="2"/>
      </tp>
      <tp t="s">
        <v>APR</v>
        <stp/>
        <stp>ContractData</stp>
        <stp>RBE?1</stp>
        <stp>ContractMonth</stp>
        <tr r="R35" s="6"/>
      </tp>
      <tp>
        <v>1.24E-2</v>
        <stp/>
        <stp>StudyData</stp>
        <stp>Consolidate(RBES1?7-RBES1?8,5X,RBES1?7-RBES1?8,1,0)</stp>
        <stp>Bar</stp>
        <stp/>
        <stp>Close</stp>
        <stp>D</stp>
        <stp>0</stp>
        <stp/>
        <stp/>
        <stp/>
        <stp/>
        <stp>T</stp>
        <tr r="I50" s="2"/>
      </tp>
      <tp>
        <v>8.6E-3</v>
        <stp/>
        <stp>StudyData</stp>
        <stp>Consolidate(RBES1?10-RBES1?11,5X,RBES1?10-RBES11?2,1,0)</stp>
        <stp>Bar</stp>
        <stp/>
        <stp>Close</stp>
        <stp>D</stp>
        <stp/>
        <stp/>
        <stp/>
        <stp/>
        <stp/>
        <stp>T</stp>
        <tr r="T43" s="6"/>
      </tp>
      <tp>
        <v>1.6795</v>
        <stp/>
        <stp>ContractData</stp>
        <stp>RBEX5</stp>
        <stp>High</stp>
        <stp/>
        <stp>T</stp>
        <tr r="D20" s="2"/>
      </tp>
      <tp>
        <v>1.6779000000000002</v>
        <stp/>
        <stp>ContractData</stp>
        <stp>RBEZ5</stp>
        <stp>High</stp>
        <stp/>
        <stp>T</stp>
        <tr r="D21" s="2"/>
      </tp>
      <tp>
        <v>1.8450000000000002</v>
        <stp/>
        <stp>ContractData</stp>
        <stp>RBEU5</stp>
        <stp>High</stp>
        <stp/>
        <stp>T</stp>
        <tr r="D18" s="2"/>
      </tp>
      <tp>
        <v>1.7159</v>
        <stp/>
        <stp>ContractData</stp>
        <stp>RBEV5</stp>
        <stp>High</stp>
        <stp/>
        <stp>T</stp>
        <tr r="D19" s="2"/>
      </tp>
      <tp>
        <v>1.8743000000000001</v>
        <stp/>
        <stp>ContractData</stp>
        <stp>RBEQ5</stp>
        <stp>High</stp>
        <stp/>
        <stp>T</stp>
        <tr r="D17" s="2"/>
      </tp>
      <tp>
        <v>1.9105000000000001</v>
        <stp/>
        <stp>ContractData</stp>
        <stp>RBEM5</stp>
        <stp>High</stp>
        <stp/>
        <stp>T</stp>
        <tr r="D15" s="2"/>
      </tp>
      <tp>
        <v>1.8906000000000001</v>
        <stp/>
        <stp>ContractData</stp>
        <stp>RBEN5</stp>
        <stp>High</stp>
        <stp/>
        <stp>T</stp>
        <tr r="D16" s="2"/>
      </tp>
      <tp>
        <v>1.9281000000000001</v>
        <stp/>
        <stp>ContractData</stp>
        <stp>RBEK5</stp>
        <stp>High</stp>
        <stp/>
        <stp>T</stp>
        <tr r="D14" s="2"/>
      </tp>
      <tp>
        <v>1.9325000000000001</v>
        <stp/>
        <stp>ContractData</stp>
        <stp>RBEJ5</stp>
        <stp>High</stp>
        <stp/>
        <stp>T</stp>
        <tr r="D13" s="2"/>
      </tp>
      <tp t="s">
        <v/>
        <stp/>
        <stp>ContractData</stp>
        <stp>RBEG6</stp>
        <stp>High</stp>
        <stp/>
        <stp>T</stp>
        <tr r="D23" s="2"/>
      </tp>
      <tp>
        <v>1.6716</v>
        <stp/>
        <stp>ContractData</stp>
        <stp>RBEF6</stp>
        <stp>High</stp>
        <stp/>
        <stp>T</stp>
        <tr r="D22" s="2"/>
      </tp>
      <tp>
        <v>0</v>
        <stp/>
        <stp>ContractData</stp>
        <stp>RBES1G6</stp>
        <stp>T_CVol</stp>
        <tr r="I38" s="2"/>
      </tp>
      <tp>
        <v>1</v>
        <stp/>
        <stp>ContractData</stp>
        <stp>RBES1F6</stp>
        <stp>T_CVol</stp>
        <tr r="I37" s="2"/>
      </tp>
      <tp>
        <v>6</v>
        <stp/>
        <stp>ContractData</stp>
        <stp>RBES1H6</stp>
        <stp>T_CVol</stp>
        <tr r="I39" s="2"/>
      </tp>
      <tp>
        <v>7711</v>
        <stp/>
        <stp>ContractData</stp>
        <stp>RBES1K5</stp>
        <stp>T_CVol</stp>
        <tr r="I29" s="2"/>
      </tp>
      <tp>
        <v>11827</v>
        <stp/>
        <stp>ContractData</stp>
        <stp>RBES1J5</stp>
        <stp>T_CVol</stp>
        <tr r="I28" s="2"/>
      </tp>
      <tp>
        <v>4139</v>
        <stp/>
        <stp>ContractData</stp>
        <stp>RBES1M5</stp>
        <stp>T_CVol</stp>
        <tr r="I30" s="2"/>
      </tp>
      <tp>
        <v>1896</v>
        <stp/>
        <stp>ContractData</stp>
        <stp>RBES1N5</stp>
        <stp>T_CVol</stp>
        <tr r="I31" s="2"/>
      </tp>
      <tp>
        <v>1575</v>
        <stp/>
        <stp>ContractData</stp>
        <stp>RBES1Q5</stp>
        <stp>T_CVol</stp>
        <tr r="I32" s="2"/>
      </tp>
      <tp>
        <v>725</v>
        <stp/>
        <stp>ContractData</stp>
        <stp>RBES1U5</stp>
        <stp>T_CVol</stp>
        <tr r="I33" s="2"/>
      </tp>
      <tp>
        <v>320</v>
        <stp/>
        <stp>ContractData</stp>
        <stp>RBES1V5</stp>
        <stp>T_CVol</stp>
        <tr r="I34" s="2"/>
      </tp>
      <tp>
        <v>318</v>
        <stp/>
        <stp>ContractData</stp>
        <stp>RBES1X5</stp>
        <stp>T_CVol</stp>
        <tr r="I35" s="2"/>
      </tp>
      <tp>
        <v>28</v>
        <stp/>
        <stp>ContractData</stp>
        <stp>RBES1Z5</stp>
        <stp>T_CVol</stp>
        <tr r="I36" s="2"/>
      </tp>
      <tp t="s">
        <v>RBEF6</v>
        <stp/>
        <stp>ContractData</stp>
        <stp>RBEF6</stp>
        <stp>Symbol</stp>
        <tr r="S6" s="2"/>
      </tp>
      <tp t="s">
        <v>RBEG6</v>
        <stp/>
        <stp>ContractData</stp>
        <stp>RBEG6</stp>
        <stp>Symbol</stp>
        <tr r="T6" s="2"/>
      </tp>
      <tp t="s">
        <v>RBEH6</v>
        <stp/>
        <stp>ContractData</stp>
        <stp>RBEH6</stp>
        <stp>Symbol</stp>
        <tr r="U6" s="2"/>
      </tp>
      <tp t="s">
        <v>RBEJ5</v>
        <stp/>
        <stp>ContractData</stp>
        <stp>RBEJ5</stp>
        <stp>Symbol</stp>
        <tr r="J6" s="2"/>
      </tp>
      <tp t="s">
        <v>RBEK5</v>
        <stp/>
        <stp>ContractData</stp>
        <stp>RBEK5</stp>
        <stp>Symbol</stp>
        <tr r="K6" s="2"/>
      </tp>
      <tp t="s">
        <v>RBEM5</v>
        <stp/>
        <stp>ContractData</stp>
        <stp>RBEM5</stp>
        <stp>Symbol</stp>
        <tr r="L6" s="2"/>
      </tp>
      <tp t="s">
        <v>RBEN5</v>
        <stp/>
        <stp>ContractData</stp>
        <stp>RBEN5</stp>
        <stp>Symbol</stp>
        <tr r="M6" s="2"/>
      </tp>
      <tp t="s">
        <v>RBEQ5</v>
        <stp/>
        <stp>ContractData</stp>
        <stp>RBEQ5</stp>
        <stp>Symbol</stp>
        <tr r="N6" s="2"/>
      </tp>
      <tp t="s">
        <v>RBEU5</v>
        <stp/>
        <stp>ContractData</stp>
        <stp>RBEU5</stp>
        <stp>Symbol</stp>
        <tr r="O6" s="2"/>
      </tp>
      <tp t="s">
        <v>RBEV5</v>
        <stp/>
        <stp>ContractData</stp>
        <stp>RBEV5</stp>
        <stp>Symbol</stp>
        <tr r="P6" s="2"/>
      </tp>
      <tp t="s">
        <v>RBEX5</v>
        <stp/>
        <stp>ContractData</stp>
        <stp>RBEX5</stp>
        <stp>Symbol</stp>
        <tr r="Q6" s="2"/>
      </tp>
      <tp t="s">
        <v>RBEZ5</v>
        <stp/>
        <stp>ContractData</stp>
        <stp>RBEZ5</stp>
        <stp>Symbol</stp>
        <tr r="R6" s="2"/>
      </tp>
      <tp t="s">
        <v>RBEM5</v>
        <stp/>
        <stp>ContractData</stp>
        <stp>RBE?3</stp>
        <stp>Symbol</stp>
        <tr r="Q4" s="6"/>
        <tr r="A15" s="2"/>
      </tp>
      <tp t="s">
        <v>RBEK5</v>
        <stp/>
        <stp>ContractData</stp>
        <stp>RBE?2</stp>
        <stp>Symbol</stp>
        <tr r="Q3" s="6"/>
        <tr r="S36" s="6"/>
        <tr r="A14" s="2"/>
      </tp>
      <tp t="s">
        <v>RBEJ5</v>
        <stp/>
        <stp>ContractData</stp>
        <stp>RBE?1</stp>
        <stp>Symbol</stp>
        <tr r="Q2" s="6"/>
        <tr r="S35" s="6"/>
        <tr r="A13" s="2"/>
      </tp>
      <tp t="s">
        <v>RBEV5</v>
        <stp/>
        <stp>ContractData</stp>
        <stp>RBE?7</stp>
        <stp>Symbol</stp>
        <tr r="Q8" s="6"/>
        <tr r="A19" s="2"/>
      </tp>
      <tp t="s">
        <v>RBEU5</v>
        <stp/>
        <stp>ContractData</stp>
        <stp>RBE?6</stp>
        <stp>Symbol</stp>
        <tr r="Q7" s="6"/>
        <tr r="A18" s="2"/>
      </tp>
      <tp t="s">
        <v>RBEQ5</v>
        <stp/>
        <stp>ContractData</stp>
        <stp>RBE?5</stp>
        <stp>Symbol</stp>
        <tr r="Q6" s="6"/>
        <tr r="A17" s="2"/>
      </tp>
      <tp t="s">
        <v>RBEN5</v>
        <stp/>
        <stp>ContractData</stp>
        <stp>RBE?4</stp>
        <stp>Symbol</stp>
        <tr r="Q5" s="6"/>
        <tr r="A16" s="2"/>
      </tp>
      <tp t="s">
        <v>RBEZ5</v>
        <stp/>
        <stp>ContractData</stp>
        <stp>RBE?9</stp>
        <stp>Symbol</stp>
        <tr r="Q10" s="6"/>
        <tr r="A21" s="2"/>
      </tp>
      <tp t="s">
        <v>RBEX5</v>
        <stp/>
        <stp>ContractData</stp>
        <stp>RBE?8</stp>
        <stp>Symbol</stp>
        <tr r="Q9" s="6"/>
        <tr r="A20" s="2"/>
      </tp>
      <tp>
        <v>1.6716</v>
        <stp/>
        <stp>ContractData</stp>
        <stp>RBEF6</stp>
        <stp>Open</stp>
        <stp/>
        <stp>T</stp>
        <tr r="C22" s="2"/>
      </tp>
      <tp t="s">
        <v/>
        <stp/>
        <stp>ContractData</stp>
        <stp>RBEG6</stp>
        <stp>Open</stp>
        <stp/>
        <stp>T</stp>
        <tr r="C23" s="2"/>
      </tp>
      <tp>
        <v>1.9067000000000001</v>
        <stp/>
        <stp>ContractData</stp>
        <stp>RBEM5</stp>
        <stp>Open</stp>
        <stp/>
        <stp>T</stp>
        <tr r="C15" s="2"/>
      </tp>
      <tp>
        <v>1.8843000000000001</v>
        <stp/>
        <stp>ContractData</stp>
        <stp>RBEN5</stp>
        <stp>Open</stp>
        <stp/>
        <stp>T</stp>
        <tr r="C16" s="2"/>
      </tp>
      <tp>
        <v>1.9222000000000001</v>
        <stp/>
        <stp>ContractData</stp>
        <stp>RBEJ5</stp>
        <stp>Open</stp>
        <stp/>
        <stp>T</stp>
        <tr r="C13" s="2"/>
      </tp>
      <tp>
        <v>1.921</v>
        <stp/>
        <stp>ContractData</stp>
        <stp>RBEK5</stp>
        <stp>Open</stp>
        <stp/>
        <stp>T</stp>
        <tr r="C14" s="2"/>
      </tp>
      <tp>
        <v>1.8367</v>
        <stp/>
        <stp>ContractData</stp>
        <stp>RBEU5</stp>
        <stp>Open</stp>
        <stp/>
        <stp>T</stp>
        <tr r="C18" s="2"/>
      </tp>
      <tp>
        <v>1.7159</v>
        <stp/>
        <stp>ContractData</stp>
        <stp>RBEV5</stp>
        <stp>Open</stp>
        <stp/>
        <stp>T</stp>
        <tr r="C19" s="2"/>
      </tp>
      <tp>
        <v>1.8682000000000001</v>
        <stp/>
        <stp>ContractData</stp>
        <stp>RBEQ5</stp>
        <stp>Open</stp>
        <stp/>
        <stp>T</stp>
        <tr r="C17" s="2"/>
      </tp>
      <tp>
        <v>1.6795</v>
        <stp/>
        <stp>ContractData</stp>
        <stp>RBEX5</stp>
        <stp>Open</stp>
        <stp/>
        <stp>T</stp>
        <tr r="C20" s="2"/>
      </tp>
      <tp>
        <v>1.6701000000000001</v>
        <stp/>
        <stp>ContractData</stp>
        <stp>RBEZ5</stp>
        <stp>Open</stp>
        <stp/>
        <stp>T</stp>
        <tr r="C21" s="2"/>
      </tp>
      <tp>
        <v>1.2699999999999999E-2</v>
        <stp/>
        <stp>StudyData</stp>
        <stp>Consolidate(RBES1?9-RBES1?10,5X,RBES1?9-RBES1?10,1,0)</stp>
        <stp>Bar</stp>
        <stp/>
        <stp>Close</stp>
        <stp>D</stp>
        <stp>-1</stp>
        <stp/>
        <stp/>
        <stp/>
        <stp/>
        <stp>T</stp>
        <tr r="U42" s="6"/>
        <tr r="I52" s="2"/>
      </tp>
      <tp>
        <v>1.3800000000000002E-2</v>
        <stp/>
        <stp>ContractData</stp>
        <stp>SPREAD(RBES1?9-RBES1?10)</stp>
        <stp>Ask</stp>
        <stp/>
        <stp>T</stp>
        <tr r="S42" s="2"/>
      </tp>
      <tp>
        <v>1.2100000000000001E-2</v>
        <stp/>
        <stp>ContractData</stp>
        <stp>SPREAD(RBES1?9-RBES1?10)</stp>
        <stp>Bid</stp>
        <stp/>
        <stp>T</stp>
        <tr r="S43" s="2"/>
      </tp>
      <tp>
        <v>8.6E-3</v>
        <stp/>
        <stp>StudyData</stp>
        <stp>Consolidate(RBES1?10-RBES1?11,5X,RBES1?10-RBES1?11,1,0)</stp>
        <stp>Bar</stp>
        <stp/>
        <stp>Close</stp>
        <stp>D</stp>
        <stp/>
        <stp/>
        <stp/>
        <stp/>
        <stp/>
        <stp>T</stp>
        <tr r="T44" s="2"/>
        <tr r="H53" s="2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volatileDependencies" Target="volatileDependenci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13825546884047E-2"/>
          <c:y val="3.1973569206350527E-2"/>
          <c:w val="0.92055420285236644"/>
          <c:h val="0.83771501188405262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RBE!$AI$2:$AI$13</c:f>
              <c:strCache>
                <c:ptCount val="11"/>
                <c:pt idx="0">
                  <c:v>APR, MAY</c:v>
                </c:pt>
                <c:pt idx="1">
                  <c:v>MAY, JUN</c:v>
                </c:pt>
                <c:pt idx="2">
                  <c:v>JUN, JUL</c:v>
                </c:pt>
                <c:pt idx="3">
                  <c:v>JUL, AUG</c:v>
                </c:pt>
                <c:pt idx="4">
                  <c:v>AUG, SEP</c:v>
                </c:pt>
                <c:pt idx="5">
                  <c:v>SEP, OCT</c:v>
                </c:pt>
                <c:pt idx="6">
                  <c:v>OCT, NOV</c:v>
                </c:pt>
                <c:pt idx="7">
                  <c:v>NOV, DEC</c:v>
                </c:pt>
                <c:pt idx="8">
                  <c:v>DEC, JAN</c:v>
                </c:pt>
                <c:pt idx="9">
                  <c:v>JAN, FEB</c:v>
                </c:pt>
                <c:pt idx="10">
                  <c:v>FEB, MAR</c:v>
                </c:pt>
              </c:strCache>
            </c:strRef>
          </c:cat>
          <c:val>
            <c:numRef>
              <c:f>RBE!$AG$2:$AG$12</c:f>
              <c:numCache>
                <c:formatCode>General</c:formatCode>
                <c:ptCount val="11"/>
                <c:pt idx="0">
                  <c:v>-3.5000000000000001E-3</c:v>
                </c:pt>
                <c:pt idx="1">
                  <c:v>1.0500000000000001E-2</c:v>
                </c:pt>
                <c:pt idx="2">
                  <c:v>1.4E-2</c:v>
                </c:pt>
                <c:pt idx="3">
                  <c:v>1.6900000000000002E-2</c:v>
                </c:pt>
                <c:pt idx="4">
                  <c:v>2.24E-2</c:v>
                </c:pt>
                <c:pt idx="5">
                  <c:v>0.12590000000000001</c:v>
                </c:pt>
                <c:pt idx="6">
                  <c:v>2.8300000000000002E-2</c:v>
                </c:pt>
                <c:pt idx="7">
                  <c:v>1.6199999999999999E-2</c:v>
                </c:pt>
                <c:pt idx="8">
                  <c:v>-5.1000000000000004E-3</c:v>
                </c:pt>
                <c:pt idx="9">
                  <c:v>-1.8250000000000002E-2</c:v>
                </c:pt>
                <c:pt idx="10">
                  <c:v>-2.6849999999999999E-2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RBE!$AI$2:$AI$13</c:f>
              <c:strCache>
                <c:ptCount val="11"/>
                <c:pt idx="0">
                  <c:v>APR, MAY</c:v>
                </c:pt>
                <c:pt idx="1">
                  <c:v>MAY, JUN</c:v>
                </c:pt>
                <c:pt idx="2">
                  <c:v>JUN, JUL</c:v>
                </c:pt>
                <c:pt idx="3">
                  <c:v>JUL, AUG</c:v>
                </c:pt>
                <c:pt idx="4">
                  <c:v>AUG, SEP</c:v>
                </c:pt>
                <c:pt idx="5">
                  <c:v>SEP, OCT</c:v>
                </c:pt>
                <c:pt idx="6">
                  <c:v>OCT, NOV</c:v>
                </c:pt>
                <c:pt idx="7">
                  <c:v>NOV, DEC</c:v>
                </c:pt>
                <c:pt idx="8">
                  <c:v>DEC, JAN</c:v>
                </c:pt>
                <c:pt idx="9">
                  <c:v>JAN, FEB</c:v>
                </c:pt>
                <c:pt idx="10">
                  <c:v>FEB, MAR</c:v>
                </c:pt>
              </c:strCache>
            </c:strRef>
          </c:cat>
          <c:val>
            <c:numRef>
              <c:f>RBE!$AK$2:$AK$12</c:f>
              <c:numCache>
                <c:formatCode>General</c:formatCode>
                <c:ptCount val="11"/>
                <c:pt idx="0">
                  <c:v>3.8E-3</c:v>
                </c:pt>
                <c:pt idx="1">
                  <c:v>1.7000000000000001E-2</c:v>
                </c:pt>
                <c:pt idx="2">
                  <c:v>1.7500000000000002E-2</c:v>
                </c:pt>
                <c:pt idx="3">
                  <c:v>1.84E-2</c:v>
                </c:pt>
                <c:pt idx="4">
                  <c:v>2.35E-2</c:v>
                </c:pt>
                <c:pt idx="5">
                  <c:v>0.1288</c:v>
                </c:pt>
                <c:pt idx="6">
                  <c:v>2.9600000000000001E-2</c:v>
                </c:pt>
                <c:pt idx="7">
                  <c:v>1.6500000000000001E-2</c:v>
                </c:pt>
                <c:pt idx="8">
                  <c:v>-5.1000000000000004E-3</c:v>
                </c:pt>
                <c:pt idx="9">
                  <c:v>-1.7299999999999999E-2</c:v>
                </c:pt>
                <c:pt idx="10">
                  <c:v>-2.6000000000000002E-2</c:v>
                </c:pt>
              </c:numCache>
            </c:numRef>
          </c:val>
          <c:smooth val="0"/>
        </c:ser>
        <c:ser>
          <c:idx val="2"/>
          <c:order val="2"/>
          <c:tx>
            <c:v>First MA</c:v>
          </c:tx>
          <c:spPr>
            <a:ln>
              <a:solidFill>
                <a:srgbClr val="FFC000"/>
              </a:solidFill>
            </a:ln>
          </c:spPr>
          <c:cat>
            <c:strRef>
              <c:f>RBE!$AI$2:$AI$13</c:f>
              <c:strCache>
                <c:ptCount val="11"/>
                <c:pt idx="0">
                  <c:v>APR, MAY</c:v>
                </c:pt>
                <c:pt idx="1">
                  <c:v>MAY, JUN</c:v>
                </c:pt>
                <c:pt idx="2">
                  <c:v>JUN, JUL</c:v>
                </c:pt>
                <c:pt idx="3">
                  <c:v>JUL, AUG</c:v>
                </c:pt>
                <c:pt idx="4">
                  <c:v>AUG, SEP</c:v>
                </c:pt>
                <c:pt idx="5">
                  <c:v>SEP, OCT</c:v>
                </c:pt>
                <c:pt idx="6">
                  <c:v>OCT, NOV</c:v>
                </c:pt>
                <c:pt idx="7">
                  <c:v>NOV, DEC</c:v>
                </c:pt>
                <c:pt idx="8">
                  <c:v>DEC, JAN</c:v>
                </c:pt>
                <c:pt idx="9">
                  <c:v>JAN, FEB</c:v>
                </c:pt>
                <c:pt idx="10">
                  <c:v>FEB, MAR</c:v>
                </c:pt>
              </c:strCache>
            </c:strRef>
          </c:cat>
          <c:val>
            <c:numRef>
              <c:f>RBE!$X$21:$X$31</c:f>
              <c:numCache>
                <c:formatCode>0.00</c:formatCode>
                <c:ptCount val="11"/>
              </c:numCache>
            </c:numRef>
          </c:val>
          <c:smooth val="0"/>
        </c:ser>
        <c:ser>
          <c:idx val="3"/>
          <c:order val="3"/>
          <c:tx>
            <c:v>Second MA</c:v>
          </c:tx>
          <c:spPr>
            <a:ln>
              <a:solidFill>
                <a:srgbClr val="00B050"/>
              </a:solidFill>
            </a:ln>
          </c:spPr>
          <c:cat>
            <c:strRef>
              <c:f>RBE!$AI$2:$AI$13</c:f>
              <c:strCache>
                <c:ptCount val="11"/>
                <c:pt idx="0">
                  <c:v>APR, MAY</c:v>
                </c:pt>
                <c:pt idx="1">
                  <c:v>MAY, JUN</c:v>
                </c:pt>
                <c:pt idx="2">
                  <c:v>JUN, JUL</c:v>
                </c:pt>
                <c:pt idx="3">
                  <c:v>JUL, AUG</c:v>
                </c:pt>
                <c:pt idx="4">
                  <c:v>AUG, SEP</c:v>
                </c:pt>
                <c:pt idx="5">
                  <c:v>SEP, OCT</c:v>
                </c:pt>
                <c:pt idx="6">
                  <c:v>OCT, NOV</c:v>
                </c:pt>
                <c:pt idx="7">
                  <c:v>NOV, DEC</c:v>
                </c:pt>
                <c:pt idx="8">
                  <c:v>DEC, JAN</c:v>
                </c:pt>
                <c:pt idx="9">
                  <c:v>JAN, FEB</c:v>
                </c:pt>
                <c:pt idx="10">
                  <c:v>FEB, MAR</c:v>
                </c:pt>
              </c:strCache>
            </c:strRef>
          </c:cat>
          <c:val>
            <c:numRef>
              <c:f>RBE!$Y$21:$Y$31</c:f>
              <c:numCache>
                <c:formatCode>0.00</c:formatCode>
                <c:ptCount val="11"/>
              </c:numCache>
            </c:numRef>
          </c:val>
          <c:smooth val="0"/>
        </c:ser>
        <c:ser>
          <c:idx val="4"/>
          <c:order val="4"/>
          <c:tx>
            <c:v>Third MA</c:v>
          </c:tx>
          <c:spPr>
            <a:ln>
              <a:solidFill>
                <a:schemeClr val="accent6"/>
              </a:solidFill>
            </a:ln>
          </c:spPr>
          <c:cat>
            <c:strRef>
              <c:f>RBE!$AI$2:$AI$13</c:f>
              <c:strCache>
                <c:ptCount val="11"/>
                <c:pt idx="0">
                  <c:v>APR, MAY</c:v>
                </c:pt>
                <c:pt idx="1">
                  <c:v>MAY, JUN</c:v>
                </c:pt>
                <c:pt idx="2">
                  <c:v>JUN, JUL</c:v>
                </c:pt>
                <c:pt idx="3">
                  <c:v>JUL, AUG</c:v>
                </c:pt>
                <c:pt idx="4">
                  <c:v>AUG, SEP</c:v>
                </c:pt>
                <c:pt idx="5">
                  <c:v>SEP, OCT</c:v>
                </c:pt>
                <c:pt idx="6">
                  <c:v>OCT, NOV</c:v>
                </c:pt>
                <c:pt idx="7">
                  <c:v>NOV, DEC</c:v>
                </c:pt>
                <c:pt idx="8">
                  <c:v>DEC, JAN</c:v>
                </c:pt>
                <c:pt idx="9">
                  <c:v>JAN, FEB</c:v>
                </c:pt>
                <c:pt idx="10">
                  <c:v>FEB, MAR</c:v>
                </c:pt>
              </c:strCache>
            </c:strRef>
          </c:cat>
          <c:val>
            <c:numRef>
              <c:f>RBE!$Z$21:$Z$31</c:f>
              <c:numCache>
                <c:formatCode>0.00</c:formatCode>
                <c:ptCount val="11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468664"/>
        <c:axId val="437383248"/>
      </c:lineChart>
      <c:catAx>
        <c:axId val="234468664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37383248"/>
        <c:crosses val="autoZero"/>
        <c:auto val="1"/>
        <c:lblAlgn val="ctr"/>
        <c:lblOffset val="100"/>
        <c:noMultiLvlLbl val="0"/>
      </c:catAx>
      <c:valAx>
        <c:axId val="437383248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234468664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748909274152583E-2"/>
          <c:y val="5.5766837932467436E-2"/>
          <c:w val="0.95494257157560014"/>
          <c:h val="0.8386180237890638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  <a:ln w="12700">
                <a:solidFill>
                  <a:schemeClr val="tx2">
                    <a:lumMod val="40000"/>
                    <a:lumOff val="60000"/>
                  </a:schemeClr>
                </a:solidFill>
              </a:ln>
            </c:spPr>
          </c:marker>
          <c:dLbls>
            <c:numFmt formatCode="0.0000" sourceLinked="0"/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RBE!$AH$2:$AH$13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RBE!$AF$2:$AF$13</c:f>
              <c:numCache>
                <c:formatCode>General</c:formatCode>
                <c:ptCount val="12"/>
                <c:pt idx="0">
                  <c:v>1.8883000000000001</c:v>
                </c:pt>
                <c:pt idx="1">
                  <c:v>1.8917000000000002</c:v>
                </c:pt>
                <c:pt idx="2">
                  <c:v>1.8812</c:v>
                </c:pt>
                <c:pt idx="3">
                  <c:v>1.86755</c:v>
                </c:pt>
                <c:pt idx="4">
                  <c:v>1.8506500000000001</c:v>
                </c:pt>
                <c:pt idx="5">
                  <c:v>1.8283500000000001</c:v>
                </c:pt>
                <c:pt idx="6">
                  <c:v>1.70245</c:v>
                </c:pt>
                <c:pt idx="7">
                  <c:v>1.6742500000000002</c:v>
                </c:pt>
                <c:pt idx="8">
                  <c:v>1.6588000000000003</c:v>
                </c:pt>
                <c:pt idx="9">
                  <c:v>1.6638500000000001</c:v>
                </c:pt>
                <c:pt idx="10">
                  <c:v>1.6815</c:v>
                </c:pt>
                <c:pt idx="11">
                  <c:v>1.7085500000000002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RBE!$AH$2:$AH$13</c:f>
              <c:strCache>
                <c:ptCount val="12"/>
                <c:pt idx="0">
                  <c:v>APR</c:v>
                </c:pt>
                <c:pt idx="1">
                  <c:v>MAY</c:v>
                </c:pt>
                <c:pt idx="2">
                  <c:v>JUN</c:v>
                </c:pt>
                <c:pt idx="3">
                  <c:v>JUL</c:v>
                </c:pt>
                <c:pt idx="4">
                  <c:v>AUG</c:v>
                </c:pt>
                <c:pt idx="5">
                  <c:v>SEP</c:v>
                </c:pt>
                <c:pt idx="6">
                  <c:v>OCT</c:v>
                </c:pt>
                <c:pt idx="7">
                  <c:v>NOV</c:v>
                </c:pt>
                <c:pt idx="8">
                  <c:v>DEC</c:v>
                </c:pt>
                <c:pt idx="9">
                  <c:v>JAN</c:v>
                </c:pt>
                <c:pt idx="10">
                  <c:v>FEB</c:v>
                </c:pt>
                <c:pt idx="11">
                  <c:v>MAR</c:v>
                </c:pt>
              </c:strCache>
            </c:strRef>
          </c:cat>
          <c:val>
            <c:numRef>
              <c:f>RBE!$AL$2:$AL$13</c:f>
              <c:numCache>
                <c:formatCode>General</c:formatCode>
                <c:ptCount val="12"/>
                <c:pt idx="0">
                  <c:v>1.9257000000000002</c:v>
                </c:pt>
                <c:pt idx="1">
                  <c:v>1.9219000000000002</c:v>
                </c:pt>
                <c:pt idx="2">
                  <c:v>1.9049</c:v>
                </c:pt>
                <c:pt idx="3">
                  <c:v>1.8874000000000002</c:v>
                </c:pt>
                <c:pt idx="4">
                  <c:v>1.869</c:v>
                </c:pt>
                <c:pt idx="5">
                  <c:v>1.8455000000000001</c:v>
                </c:pt>
                <c:pt idx="6">
                  <c:v>1.7167000000000001</c:v>
                </c:pt>
                <c:pt idx="7">
                  <c:v>1.6871</c:v>
                </c:pt>
                <c:pt idx="8">
                  <c:v>1.6706000000000001</c:v>
                </c:pt>
                <c:pt idx="9">
                  <c:v>1.6757000000000002</c:v>
                </c:pt>
                <c:pt idx="10">
                  <c:v>1.6930000000000001</c:v>
                </c:pt>
                <c:pt idx="11">
                  <c:v>1.7190000000000001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384816"/>
        <c:axId val="433142352"/>
      </c:lineChart>
      <c:catAx>
        <c:axId val="43738481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20000"/>
                  <a:lumOff val="8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33142352"/>
        <c:crosses val="autoZero"/>
        <c:auto val="1"/>
        <c:lblAlgn val="ctr"/>
        <c:lblOffset val="100"/>
        <c:noMultiLvlLbl val="0"/>
      </c:catAx>
      <c:valAx>
        <c:axId val="433142352"/>
        <c:scaling>
          <c:orientation val="minMax"/>
        </c:scaling>
        <c:delete val="0"/>
        <c:axPos val="l"/>
        <c:majorGridlines>
          <c:spPr>
            <a:ln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37384816"/>
        <c:crosses val="autoZero"/>
        <c:crossBetween val="between"/>
      </c:valAx>
      <c:spPr>
        <a:solidFill>
          <a:schemeClr val="tx1"/>
        </a:solidFill>
        <a:ln w="12700">
          <a:solidFill>
            <a:schemeClr val="accent1"/>
          </a:solidFill>
        </a:ln>
        <a:effectLst>
          <a:innerShdw blurRad="63500" dist="50800" dir="18900000">
            <a:prstClr val="black">
              <a:alpha val="50000"/>
            </a:prstClr>
          </a:innerShdw>
        </a:effectLst>
      </c:spPr>
    </c:plotArea>
    <c:plotVisOnly val="1"/>
    <c:dispBlanksAs val="gap"/>
    <c:showDLblsOverMax val="0"/>
  </c:chart>
  <c:spPr>
    <a:solidFill>
      <a:schemeClr val="tx1"/>
    </a:solidFill>
    <a:ln w="12700">
      <a:noFill/>
    </a:ln>
  </c:spPr>
  <c:txPr>
    <a:bodyPr/>
    <a:lstStyle/>
    <a:p>
      <a:pPr>
        <a:defRPr sz="900" b="0" i="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427392220430004E-2"/>
          <c:y val="5.5453682814787818E-2"/>
          <c:w val="0.90566991036394617"/>
          <c:h val="0.87003606070980266"/>
        </c:manualLayout>
      </c:layout>
      <c:lineChart>
        <c:grouping val="standard"/>
        <c:varyColors val="0"/>
        <c:ser>
          <c:idx val="0"/>
          <c:order val="0"/>
          <c:tx>
            <c:v>Last</c:v>
          </c:tx>
          <c:spPr>
            <a:ln w="15875">
              <a:solidFill>
                <a:schemeClr val="accent1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c:spPr>
          </c:marker>
          <c:dLbls>
            <c:numFmt formatCode="#,##0.0000" sourceLinked="0"/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RBE!$V$34:$V$43</c:f>
              <c:strCache>
                <c:ptCount val="10"/>
                <c:pt idx="0">
                  <c:v>APR, MAY, JUN</c:v>
                </c:pt>
                <c:pt idx="1">
                  <c:v>MAY, JUN, JUL</c:v>
                </c:pt>
                <c:pt idx="2">
                  <c:v>JUN, JUL, AUG</c:v>
                </c:pt>
                <c:pt idx="3">
                  <c:v>JUL, AUG, SEP</c:v>
                </c:pt>
                <c:pt idx="4">
                  <c:v>AUG, SEP, OCT</c:v>
                </c:pt>
                <c:pt idx="5">
                  <c:v>SEP, OCT, NOV</c:v>
                </c:pt>
                <c:pt idx="6">
                  <c:v>OCT, NOV, DEC</c:v>
                </c:pt>
                <c:pt idx="7">
                  <c:v>NOV, DEC, JAN</c:v>
                </c:pt>
                <c:pt idx="8">
                  <c:v>DEC, JAN, FEB</c:v>
                </c:pt>
                <c:pt idx="9">
                  <c:v>JAN, FEB, MAR</c:v>
                </c:pt>
              </c:strCache>
            </c:strRef>
          </c:cat>
          <c:val>
            <c:numRef>
              <c:f>RBE!$T$34:$T$43</c:f>
              <c:numCache>
                <c:formatCode>0.00</c:formatCode>
                <c:ptCount val="10"/>
                <c:pt idx="0">
                  <c:v>-1.29E-2</c:v>
                </c:pt>
                <c:pt idx="1">
                  <c:v>-3.7000000000000002E-3</c:v>
                </c:pt>
                <c:pt idx="2">
                  <c:v>-2.3E-3</c:v>
                </c:pt>
                <c:pt idx="3">
                  <c:v>-5.4000000000000003E-3</c:v>
                </c:pt>
                <c:pt idx="4">
                  <c:v>-0.1037</c:v>
                </c:pt>
                <c:pt idx="5">
                  <c:v>9.7799999999999998E-2</c:v>
                </c:pt>
                <c:pt idx="6">
                  <c:v>1.24E-2</c:v>
                </c:pt>
                <c:pt idx="7">
                  <c:v>2.1499999999999998E-2</c:v>
                </c:pt>
                <c:pt idx="8">
                  <c:v>1.1900000000000001E-2</c:v>
                </c:pt>
                <c:pt idx="9">
                  <c:v>8.6E-3</c:v>
                </c:pt>
              </c:numCache>
            </c:numRef>
          </c:val>
          <c:smooth val="0"/>
        </c:ser>
        <c:ser>
          <c:idx val="1"/>
          <c:order val="1"/>
          <c:tx>
            <c:v>Settlement</c:v>
          </c:tx>
          <c:spPr>
            <a:ln w="19050">
              <a:solidFill>
                <a:srgbClr val="FF0000"/>
              </a:solidFill>
            </a:ln>
          </c:spPr>
          <c:marker>
            <c:symbol val="circle"/>
            <c:size val="5"/>
            <c:spPr>
              <a:gradFill>
                <a:gsLst>
                  <a:gs pos="0">
                    <a:srgbClr val="FF0000"/>
                  </a:gs>
                  <a:gs pos="88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path path="circle">
                  <a:fillToRect l="100000" t="100000"/>
                </a:path>
              </a:gradFill>
              <a:ln>
                <a:solidFill>
                  <a:srgbClr val="FF0000"/>
                </a:solidFill>
              </a:ln>
            </c:spPr>
          </c:marker>
          <c:cat>
            <c:strRef>
              <c:f>RBE!$V$34:$V$43</c:f>
              <c:strCache>
                <c:ptCount val="10"/>
                <c:pt idx="0">
                  <c:v>APR, MAY, JUN</c:v>
                </c:pt>
                <c:pt idx="1">
                  <c:v>MAY, JUN, JUL</c:v>
                </c:pt>
                <c:pt idx="2">
                  <c:v>JUN, JUL, AUG</c:v>
                </c:pt>
                <c:pt idx="3">
                  <c:v>JUL, AUG, SEP</c:v>
                </c:pt>
                <c:pt idx="4">
                  <c:v>AUG, SEP, OCT</c:v>
                </c:pt>
                <c:pt idx="5">
                  <c:v>SEP, OCT, NOV</c:v>
                </c:pt>
                <c:pt idx="6">
                  <c:v>OCT, NOV, DEC</c:v>
                </c:pt>
                <c:pt idx="7">
                  <c:v>NOV, DEC, JAN</c:v>
                </c:pt>
                <c:pt idx="8">
                  <c:v>DEC, JAN, FEB</c:v>
                </c:pt>
                <c:pt idx="9">
                  <c:v>JAN, FEB, MAR</c:v>
                </c:pt>
              </c:strCache>
            </c:strRef>
          </c:cat>
          <c:val>
            <c:numRef>
              <c:f>RBE!$U$34:$U$43</c:f>
              <c:numCache>
                <c:formatCode>0.00</c:formatCode>
                <c:ptCount val="10"/>
                <c:pt idx="0">
                  <c:v>-1.34E-2</c:v>
                </c:pt>
                <c:pt idx="1">
                  <c:v>-1.1999999999999999E-3</c:v>
                </c:pt>
                <c:pt idx="2">
                  <c:v>-8.9999999999999998E-4</c:v>
                </c:pt>
                <c:pt idx="3">
                  <c:v>-4.7999999999999996E-3</c:v>
                </c:pt>
                <c:pt idx="4">
                  <c:v>-0.1055</c:v>
                </c:pt>
                <c:pt idx="5">
                  <c:v>9.9599999999999994E-2</c:v>
                </c:pt>
                <c:pt idx="6">
                  <c:v>1.35E-2</c:v>
                </c:pt>
                <c:pt idx="7">
                  <c:v>2.1399999999999999E-2</c:v>
                </c:pt>
                <c:pt idx="8">
                  <c:v>1.2699999999999999E-2</c:v>
                </c:pt>
                <c:pt idx="9">
                  <c:v>8.3000000000000001E-3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3143136"/>
        <c:axId val="433143528"/>
      </c:lineChart>
      <c:catAx>
        <c:axId val="433143136"/>
        <c:scaling>
          <c:orientation val="minMax"/>
        </c:scaling>
        <c:delete val="0"/>
        <c:axPos val="b"/>
        <c:majorGridlines>
          <c:spPr>
            <a:ln>
              <a:solidFill>
                <a:schemeClr val="tx2">
                  <a:lumMod val="40000"/>
                  <a:lumOff val="60000"/>
                </a:schemeClr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crossAx val="433143528"/>
        <c:crosses val="autoZero"/>
        <c:auto val="1"/>
        <c:lblAlgn val="ctr"/>
        <c:lblOffset val="100"/>
        <c:noMultiLvlLbl val="0"/>
      </c:catAx>
      <c:valAx>
        <c:axId val="433143528"/>
        <c:scaling>
          <c:orientation val="minMax"/>
        </c:scaling>
        <c:delete val="0"/>
        <c:axPos val="l"/>
        <c:majorGridlines>
          <c:spPr>
            <a:ln w="12700">
              <a:solidFill>
                <a:srgbClr val="FF0000"/>
              </a:solidFill>
              <a:prstDash val="dash"/>
            </a:ln>
          </c:spPr>
        </c:majorGridlines>
        <c:numFmt formatCode="#,##0.00" sourceLinked="0"/>
        <c:majorTickMark val="out"/>
        <c:minorTickMark val="none"/>
        <c:tickLblPos val="nextTo"/>
        <c:crossAx val="433143136"/>
        <c:crosses val="autoZero"/>
        <c:crossBetween val="between"/>
      </c:valAx>
      <c:spPr>
        <a:solidFill>
          <a:schemeClr val="tx1"/>
        </a:solidFill>
        <a:ln cmpd="thickThin">
          <a:solidFill>
            <a:schemeClr val="accent1"/>
          </a:solidFill>
        </a:ln>
      </c:spPr>
    </c:plotArea>
    <c:plotVisOnly val="1"/>
    <c:dispBlanksAs val="gap"/>
    <c:showDLblsOverMax val="0"/>
  </c:chart>
  <c:spPr>
    <a:solidFill>
      <a:schemeClr val="tx1"/>
    </a:solidFill>
    <a:ln w="12700" cmpd="sng">
      <a:noFill/>
    </a:ln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95249</xdr:colOff>
      <xdr:row>28</xdr:row>
      <xdr:rowOff>38099</xdr:rowOff>
    </xdr:from>
    <xdr:to>
      <xdr:col>20</xdr:col>
      <xdr:colOff>933449</xdr:colOff>
      <xdr:row>39</xdr:row>
      <xdr:rowOff>133350</xdr:rowOff>
    </xdr:to>
    <xdr:graphicFrame macro="">
      <xdr:nvGraphicFramePr>
        <xdr:cNvPr id="37" name="Chart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39585</xdr:colOff>
      <xdr:row>11</xdr:row>
      <xdr:rowOff>69272</xdr:rowOff>
    </xdr:from>
    <xdr:to>
      <xdr:col>20</xdr:col>
      <xdr:colOff>805172</xdr:colOff>
      <xdr:row>23</xdr:row>
      <xdr:rowOff>89065</xdr:rowOff>
    </xdr:to>
    <xdr:graphicFrame macro="">
      <xdr:nvGraphicFramePr>
        <xdr:cNvPr id="24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oneCellAnchor>
    <xdr:from>
      <xdr:col>9</xdr:col>
      <xdr:colOff>263220</xdr:colOff>
      <xdr:row>26</xdr:row>
      <xdr:rowOff>51181</xdr:rowOff>
    </xdr:from>
    <xdr:ext cx="525937" cy="121956"/>
    <xdr:pic>
      <xdr:nvPicPr>
        <xdr:cNvPr id="25" name="Picture 2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0745" y="4261231"/>
          <a:ext cx="525937" cy="121956"/>
        </a:xfrm>
        <a:prstGeom prst="rect">
          <a:avLst/>
        </a:prstGeom>
      </xdr:spPr>
    </xdr:pic>
    <xdr:clientData/>
  </xdr:oneCellAnchor>
  <xdr:oneCellAnchor>
    <xdr:from>
      <xdr:col>9</xdr:col>
      <xdr:colOff>244170</xdr:colOff>
      <xdr:row>42</xdr:row>
      <xdr:rowOff>51181</xdr:rowOff>
    </xdr:from>
    <xdr:ext cx="525937" cy="121956"/>
    <xdr:pic>
      <xdr:nvPicPr>
        <xdr:cNvPr id="26" name="Picture 2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11695" y="7452106"/>
          <a:ext cx="525937" cy="121956"/>
        </a:xfrm>
        <a:prstGeom prst="rect">
          <a:avLst/>
        </a:prstGeom>
      </xdr:spPr>
    </xdr:pic>
    <xdr:clientData/>
  </xdr:oneCellAnchor>
  <xdr:twoCellAnchor>
    <xdr:from>
      <xdr:col>9</xdr:col>
      <xdr:colOff>19049</xdr:colOff>
      <xdr:row>44</xdr:row>
      <xdr:rowOff>38100</xdr:rowOff>
    </xdr:from>
    <xdr:to>
      <xdr:col>20</xdr:col>
      <xdr:colOff>19050</xdr:colOff>
      <xdr:row>55</xdr:row>
      <xdr:rowOff>171450</xdr:rowOff>
    </xdr:to>
    <xdr:graphicFrame macro="">
      <xdr:nvGraphicFramePr>
        <xdr:cNvPr id="27" name="Chart 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129392</xdr:colOff>
      <xdr:row>22</xdr:row>
      <xdr:rowOff>166379</xdr:rowOff>
    </xdr:from>
    <xdr:to>
      <xdr:col>9</xdr:col>
      <xdr:colOff>651099</xdr:colOff>
      <xdr:row>23</xdr:row>
      <xdr:rowOff>102163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68639" y="3630015"/>
          <a:ext cx="521707" cy="123810"/>
        </a:xfrm>
        <a:prstGeom prst="rect">
          <a:avLst/>
        </a:prstGeom>
      </xdr:spPr>
    </xdr:pic>
    <xdr:clientData/>
  </xdr:twoCellAnchor>
  <xdr:oneCellAnchor>
    <xdr:from>
      <xdr:col>4</xdr:col>
      <xdr:colOff>742950</xdr:colOff>
      <xdr:row>55</xdr:row>
      <xdr:rowOff>57150</xdr:rowOff>
    </xdr:from>
    <xdr:ext cx="525937" cy="121956"/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76650" y="9658350"/>
          <a:ext cx="525937" cy="121956"/>
        </a:xfrm>
        <a:prstGeom prst="rect">
          <a:avLst/>
        </a:prstGeom>
      </xdr:spPr>
    </xdr:pic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0.88574</cdr:x>
      <cdr:y>0.79527</cdr:y>
    </cdr:from>
    <cdr:to>
      <cdr:x>0.99278</cdr:x>
      <cdr:y>0.88638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154141" y="1900421"/>
          <a:ext cx="1227119" cy="217714"/>
        </a:xfrm>
        <a:prstGeom xmlns:a="http://schemas.openxmlformats.org/drawingml/2006/main" prst="rect">
          <a:avLst/>
        </a:prstGeom>
        <a:gradFill xmlns:a="http://schemas.openxmlformats.org/drawingml/2006/main">
          <a:gsLst>
            <a:gs pos="0">
              <a:schemeClr val="tx1"/>
            </a:gs>
            <a:gs pos="50000">
              <a:srgbClr val="002060"/>
            </a:gs>
            <a:gs pos="100000">
              <a:schemeClr val="tx1"/>
            </a:gs>
          </a:gsLst>
          <a:lin ang="5400000" scaled="0"/>
        </a:gra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000">
              <a:solidFill>
                <a:schemeClr val="accent1"/>
              </a:solidFill>
            </a:rPr>
            <a:t>Red line:  Settlement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W68"/>
  <sheetViews>
    <sheetView showGridLines="0" showRowColHeaders="0" tabSelected="1" topLeftCell="A3" zoomScale="77" zoomScaleNormal="77" workbookViewId="0">
      <selection activeCell="F9" sqref="F9:G10"/>
    </sheetView>
  </sheetViews>
  <sheetFormatPr defaultColWidth="9" defaultRowHeight="12.6" x14ac:dyDescent="0.25"/>
  <cols>
    <col min="1" max="1" width="0.3984375" style="24" customWidth="1"/>
    <col min="2" max="2" width="16.59765625" style="1" customWidth="1"/>
    <col min="3" max="6" width="10.69921875" style="1" customWidth="1"/>
    <col min="7" max="7" width="9.59765625" style="1" customWidth="1"/>
    <col min="8" max="8" width="8.59765625" style="1" customWidth="1"/>
    <col min="9" max="9" width="10.59765625" style="1" customWidth="1"/>
    <col min="10" max="15" width="12.59765625" style="1" customWidth="1"/>
    <col min="16" max="16" width="12.59765625" style="7" customWidth="1"/>
    <col min="17" max="21" width="12.59765625" style="1" customWidth="1"/>
    <col min="22" max="22" width="10.69921875" style="7" customWidth="1"/>
    <col min="23" max="24" width="10.69921875" style="8" customWidth="1"/>
    <col min="25" max="34" width="9" style="8"/>
    <col min="35" max="49" width="9" style="7"/>
    <col min="50" max="16384" width="9" style="1"/>
  </cols>
  <sheetData>
    <row r="1" spans="1:45" ht="9" hidden="1" customHeight="1" x14ac:dyDescent="0.25"/>
    <row r="2" spans="1:45" ht="9" hidden="1" customHeight="1" thickBot="1" x14ac:dyDescent="0.3"/>
    <row r="3" spans="1:45" ht="5.0999999999999996" customHeight="1" x14ac:dyDescent="0.25">
      <c r="B3" s="122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96"/>
      <c r="V3" s="73"/>
      <c r="W3" s="73"/>
    </row>
    <row r="4" spans="1:45" ht="15.9" customHeight="1" x14ac:dyDescent="0.25">
      <c r="B4" s="141" t="str">
        <f>"CQG "&amp;RTD("cqg.rtd",,"ContractData",J6,"LongDescription")</f>
        <v>CQG RBOB Gasoline (Globex), Apr 15</v>
      </c>
      <c r="C4" s="136"/>
      <c r="D4" s="136"/>
      <c r="E4" s="136"/>
      <c r="F4" s="136"/>
      <c r="G4" s="136"/>
      <c r="H4" s="136"/>
      <c r="I4" s="136"/>
      <c r="J4" s="135" t="s">
        <v>24</v>
      </c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7"/>
      <c r="V4" s="74"/>
      <c r="W4" s="74"/>
    </row>
    <row r="5" spans="1:45" ht="15.9" customHeight="1" x14ac:dyDescent="0.25">
      <c r="B5" s="142"/>
      <c r="C5" s="143"/>
      <c r="D5" s="143"/>
      <c r="E5" s="143"/>
      <c r="F5" s="143"/>
      <c r="G5" s="143"/>
      <c r="H5" s="143"/>
      <c r="I5" s="143"/>
      <c r="J5" s="138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40"/>
      <c r="V5" s="73"/>
      <c r="W5" s="73"/>
    </row>
    <row r="6" spans="1:45" ht="15" hidden="1" customHeight="1" thickBot="1" x14ac:dyDescent="0.3">
      <c r="B6" s="97"/>
      <c r="C6" s="34"/>
      <c r="D6" s="34"/>
      <c r="E6" s="34"/>
      <c r="F6" s="34"/>
      <c r="G6" s="34"/>
      <c r="H6" s="34"/>
      <c r="I6" s="35"/>
      <c r="J6" s="37" t="str">
        <f>RTD("cqg.rtd", ,"ContractData",RBE!Q2, "Symbol")</f>
        <v>RBEJ5</v>
      </c>
      <c r="K6" s="38" t="str">
        <f>RTD("cqg.rtd", ,"ContractData",RBE!Q3, "Symbol")</f>
        <v>RBEK5</v>
      </c>
      <c r="L6" s="38" t="str">
        <f>RTD("cqg.rtd", ,"ContractData",RBE!Q4, "Symbol")</f>
        <v>RBEM5</v>
      </c>
      <c r="M6" s="38" t="str">
        <f>RTD("cqg.rtd", ,"ContractData",RBE!Q5, "Symbol")</f>
        <v>RBEN5</v>
      </c>
      <c r="N6" s="39" t="str">
        <f>RTD("cqg.rtd", ,"ContractData",RBE!Q6, "Symbol")</f>
        <v>RBEQ5</v>
      </c>
      <c r="O6" s="39" t="str">
        <f>RTD("cqg.rtd", ,"ContractData",RBE!Q7, "Symbol")</f>
        <v>RBEU5</v>
      </c>
      <c r="P6" s="40" t="str">
        <f>RTD("cqg.rtd", ,"ContractData",RBE!Q8, "Symbol")</f>
        <v>RBEV5</v>
      </c>
      <c r="Q6" s="41" t="str">
        <f>RTD("cqg.rtd", ,"ContractData",RBE!Q9, "Symbol")</f>
        <v>RBEX5</v>
      </c>
      <c r="R6" s="41" t="str">
        <f>RTD("cqg.rtd", ,"ContractData",RBE!Q10, "Symbol")</f>
        <v>RBEZ5</v>
      </c>
      <c r="S6" s="41" t="str">
        <f>RTD("cqg.rtd", ,"ContractData",RBE!Q11, "Symbol")</f>
        <v>RBEF6</v>
      </c>
      <c r="T6" s="41" t="str">
        <f>RTD("cqg.rtd", ,"ContractData",RBE!Q12, "Symbol")</f>
        <v>RBEG6</v>
      </c>
      <c r="U6" s="98" t="str">
        <f>RTD("cqg.rtd", ,"ContractData",RBE!Q13, "Symbol")</f>
        <v>RBEH6</v>
      </c>
      <c r="V6" s="73"/>
      <c r="W6" s="73"/>
      <c r="Y6" s="8" t="str">
        <f>LEFT(RIGHT(E7,2),1)</f>
        <v/>
      </c>
      <c r="AA6" s="8" t="str">
        <f>LEFT(RIGHT(G7,2),1)</f>
        <v/>
      </c>
      <c r="AB6" s="8" t="str">
        <f>LEFT(RIGHT(H7,2),1)</f>
        <v/>
      </c>
      <c r="AC6" s="8" t="str">
        <f>LEFT(RIGHT(I7,2),1)</f>
        <v/>
      </c>
      <c r="AD6" s="8" t="str">
        <f t="shared" ref="AD6:AQ6" si="0">LEFT(RIGHT(J6,2),1)</f>
        <v>J</v>
      </c>
      <c r="AE6" s="8" t="str">
        <f t="shared" si="0"/>
        <v>K</v>
      </c>
      <c r="AF6" s="8" t="str">
        <f t="shared" si="0"/>
        <v>M</v>
      </c>
      <c r="AG6" s="8" t="str">
        <f t="shared" si="0"/>
        <v>N</v>
      </c>
      <c r="AH6" s="8" t="str">
        <f t="shared" si="0"/>
        <v>Q</v>
      </c>
      <c r="AI6" s="8" t="str">
        <f t="shared" si="0"/>
        <v>U</v>
      </c>
      <c r="AJ6" s="8" t="str">
        <f t="shared" si="0"/>
        <v>V</v>
      </c>
      <c r="AK6" s="8" t="str">
        <f t="shared" si="0"/>
        <v>X</v>
      </c>
      <c r="AL6" s="8" t="str">
        <f t="shared" si="0"/>
        <v>Z</v>
      </c>
      <c r="AM6" s="8" t="str">
        <f t="shared" si="0"/>
        <v>F</v>
      </c>
      <c r="AN6" s="8" t="str">
        <f t="shared" si="0"/>
        <v>G</v>
      </c>
      <c r="AO6" s="8" t="str">
        <f t="shared" si="0"/>
        <v>H</v>
      </c>
      <c r="AP6" s="8" t="str">
        <f t="shared" si="0"/>
        <v/>
      </c>
      <c r="AQ6" s="8" t="str">
        <f t="shared" si="0"/>
        <v/>
      </c>
      <c r="AR6" s="8"/>
      <c r="AS6" s="8"/>
    </row>
    <row r="7" spans="1:45" ht="15" customHeight="1" x14ac:dyDescent="0.25">
      <c r="B7" s="146" t="s">
        <v>1</v>
      </c>
      <c r="C7" s="148">
        <f>RTD("cqg.rtd", ,"ContractData",J6, "MT_LastAskVolume")</f>
        <v>2</v>
      </c>
      <c r="D7" s="177">
        <f>RTD("cqg.rtd", ,"ContractData",J6, "Ask",,"T")</f>
        <v>1.8888</v>
      </c>
      <c r="E7" s="178"/>
      <c r="F7" s="125" t="s">
        <v>17</v>
      </c>
      <c r="G7" s="126"/>
      <c r="H7" s="126"/>
      <c r="I7" s="126"/>
      <c r="J7" s="31" t="str">
        <f t="shared" ref="J7:P7" si="1">IF(AD6="F","JAN",IF(AD6="G","FEB",IF(AD6="H","MAR",IF(AD6="J","APR",IF(AD6="K","MAY",IF(AD6="M","JUN",IF(AD6="N","JUL",IF(AD6="Q","AUG",IF(AD6="U","SEP",IF(AD6="V","OCT",IF(AD6="X","NOV",IF(AD6="Z","DEC",))))))))))))</f>
        <v>APR</v>
      </c>
      <c r="K7" s="31" t="str">
        <f t="shared" si="1"/>
        <v>MAY</v>
      </c>
      <c r="L7" s="31" t="str">
        <f t="shared" si="1"/>
        <v>JUN</v>
      </c>
      <c r="M7" s="31" t="str">
        <f t="shared" si="1"/>
        <v>JUL</v>
      </c>
      <c r="N7" s="31" t="str">
        <f t="shared" si="1"/>
        <v>AUG</v>
      </c>
      <c r="O7" s="31" t="str">
        <f t="shared" si="1"/>
        <v>SEP</v>
      </c>
      <c r="P7" s="31" t="str">
        <f t="shared" si="1"/>
        <v>OCT</v>
      </c>
      <c r="Q7" s="31" t="str">
        <f>IF(AK6="F","JAN",IF(AK6="G","FEB",IF(AK6="H","MAR",IF(AK6="J","APR",IF(AK6="K","MAY",IF(AK6="M","JUN",IF(AK6="N","JUL",IF(AK6="Q","AUG",IF(AK6="U","SEP",IF(AK6="V","OCT",IF(AK6="X","NOV",IF(AK6="Z","DEC",))))))))))))</f>
        <v>NOV</v>
      </c>
      <c r="R7" s="31" t="str">
        <f t="shared" ref="R7:U7" si="2">IF(AL6="F","JAN",IF(AL6="G","FEB",IF(AL6="H","MAR",IF(AL6="J","APR",IF(AL6="K","MAY",IF(AL6="M","JUN",IF(AL6="N","JUL",IF(AL6="Q","AUG",IF(AL6="U","SEP",IF(AL6="V","OCT",IF(AL6="X","NOV",IF(AL6="Z","DEC",))))))))))))</f>
        <v>DEC</v>
      </c>
      <c r="S7" s="31" t="str">
        <f t="shared" si="2"/>
        <v>JAN</v>
      </c>
      <c r="T7" s="31" t="str">
        <f t="shared" si="2"/>
        <v>FEB</v>
      </c>
      <c r="U7" s="99" t="str">
        <f t="shared" si="2"/>
        <v>MAR</v>
      </c>
      <c r="V7" s="74"/>
      <c r="W7" s="74"/>
    </row>
    <row r="8" spans="1:45" ht="15" customHeight="1" x14ac:dyDescent="0.25">
      <c r="B8" s="147"/>
      <c r="C8" s="149"/>
      <c r="D8" s="179"/>
      <c r="E8" s="180"/>
      <c r="F8" s="125"/>
      <c r="G8" s="126"/>
      <c r="H8" s="126"/>
      <c r="I8" s="126"/>
      <c r="J8" s="13" t="str">
        <f>TEXT(RTD("cqg.rtd",,"ContractData",J6,"Ask",,"T"),"#.0000")&amp;" "&amp;"A"</f>
        <v>1.8888 A</v>
      </c>
      <c r="K8" s="13" t="str">
        <f>TEXT(RTD("cqg.rtd",,"ContractData",K6,"Ask",,"T"),"#.0000")&amp;" "&amp;"A"</f>
        <v>1.8923 A</v>
      </c>
      <c r="L8" s="13" t="str">
        <f>TEXT(RTD("cqg.rtd",,"ContractData",L6,"Ask",,"T"),"#.0000")&amp;" "&amp;"A"</f>
        <v>1.8819 A</v>
      </c>
      <c r="M8" s="13" t="str">
        <f>TEXT(RTD("cqg.rtd",,"ContractData",M6,"Ask",,"T"),"#.0000")&amp;" "&amp;"A"</f>
        <v>1.8680 A</v>
      </c>
      <c r="N8" s="13" t="str">
        <f>TEXT(RTD("cqg.rtd",,"ContractData",N6,"Ask",,"T"),"#.0000")&amp;" "&amp;"A"</f>
        <v>1.8511 A</v>
      </c>
      <c r="O8" s="13" t="str">
        <f>TEXT(RTD("cqg.rtd",,"ContractData",O6,"Ask",,"T"),"#.0000")&amp;" "&amp;"A"</f>
        <v>1.8289 A</v>
      </c>
      <c r="P8" s="13" t="str">
        <f>TEXT(RTD("cqg.rtd",,"ContractData",P6,"Ask",,"T"),"#.0000")&amp;" "&amp;"A"</f>
        <v>1.7031 A</v>
      </c>
      <c r="Q8" s="13" t="str">
        <f>TEXT(RTD("cqg.rtd",,"ContractData",Q6,"Ask",,"T"),"#.0000")&amp;" "&amp;"A"</f>
        <v>1.6748 A</v>
      </c>
      <c r="R8" s="13" t="str">
        <f>TEXT(RTD("cqg.rtd",,"ContractData",R6,"Ask",,"T"),"#.0000")&amp;" "&amp;"A"</f>
        <v>1.6598 A</v>
      </c>
      <c r="S8" s="13" t="str">
        <f>TEXT(RTD("cqg.rtd",,"ContractData",S6,"Ask",,"T"),"#.0000")&amp;" "&amp;"A"</f>
        <v>1.6649 A</v>
      </c>
      <c r="T8" s="13" t="str">
        <f>TEXT(RTD("cqg.rtd",,"ContractData",T6,"Ask",,"T"),"#.0000")&amp;" "&amp;"A"</f>
        <v>1.6837 A</v>
      </c>
      <c r="U8" s="100" t="str">
        <f>TEXT(RTD("cqg.rtd",,"ContractData",U6,"Ask",,"T"),"#.0000")&amp;" "&amp;"A"</f>
        <v>1.7121 A</v>
      </c>
      <c r="V8" s="73"/>
      <c r="W8" s="73"/>
    </row>
    <row r="9" spans="1:45" ht="15" customHeight="1" x14ac:dyDescent="0.25">
      <c r="B9" s="123" t="s">
        <v>0</v>
      </c>
      <c r="C9" s="144">
        <f>RTD("cqg.rtd", ,"ContractData",J6, "MT_LastBidVolume")</f>
        <v>2</v>
      </c>
      <c r="D9" s="181">
        <f>RTD("cqg.rtd", ,"ContractData",J6, "Bid",,"T")</f>
        <v>1.8883000000000001</v>
      </c>
      <c r="E9" s="181"/>
      <c r="F9" s="173">
        <f>RTD("cqg.rtd", ,"ContractData",J6,"LastTradeorSettle",,"T")</f>
        <v>1.8883000000000001</v>
      </c>
      <c r="G9" s="174"/>
      <c r="H9" s="174" t="str">
        <f>IF(G13&gt;0,"+"&amp;TEXT(RTD("cqg.rtd",,"ContractData",J6,"NetLastTradeToday",,"T"),"#.000"),TEXT(G13,"#.000"))</f>
        <v>-.037</v>
      </c>
      <c r="I9" s="174"/>
      <c r="J9" s="13" t="str">
        <f>TEXT(RTD("cqg.rtd",,"ContractData",J6,"Bid",,"T"),"#.0000")&amp;" "&amp;"B"</f>
        <v>1.8883 B</v>
      </c>
      <c r="K9" s="13" t="str">
        <f>TEXT(RTD("cqg.rtd",,"ContractData",K6,"Bid",,"T"),"#.0000")&amp;" "&amp;"B"</f>
        <v>1.8917 B</v>
      </c>
      <c r="L9" s="13" t="str">
        <f>TEXT(RTD("cqg.rtd",,"ContractData",L6,"Bid",,"T"),"#.0000")&amp;" "&amp;"B"</f>
        <v>1.8812 B</v>
      </c>
      <c r="M9" s="13" t="str">
        <f>TEXT(RTD("cqg.rtd",,"ContractData",M6,"Bid",,"T"),"#.0000")&amp;" "&amp;"B"</f>
        <v>1.8671 B</v>
      </c>
      <c r="N9" s="13" t="str">
        <f>TEXT(RTD("cqg.rtd",,"ContractData",N6,"Bid",,"T"),"#.0000")&amp;" "&amp;"B"</f>
        <v>1.8502 B</v>
      </c>
      <c r="O9" s="13" t="str">
        <f>TEXT(RTD("cqg.rtd",,"ContractData",O6,"Bid",,"T"),"#.0000")&amp;" "&amp;"B"</f>
        <v>1.8278 B</v>
      </c>
      <c r="P9" s="13" t="str">
        <f>TEXT(RTD("cqg.rtd",,"ContractData",P6,"Bid",,"T"),"#.0000")&amp;" "&amp;"B"</f>
        <v>1.7018 B</v>
      </c>
      <c r="Q9" s="13" t="str">
        <f>TEXT(RTD("cqg.rtd",,"ContractData",Q6,"Bid",,"T"),"#.0000")&amp;" "&amp;"B"</f>
        <v>1.6737 B</v>
      </c>
      <c r="R9" s="13" t="str">
        <f>TEXT(RTD("cqg.rtd",,"ContractData",R6,"Bid",,"T"),"#.0000")&amp;" "&amp;"B"</f>
        <v>1.6578 B</v>
      </c>
      <c r="S9" s="13" t="str">
        <f>TEXT(RTD("cqg.rtd",,"ContractData",S6,"Bid",,"T"),"#.0000")&amp;" "&amp;"B"</f>
        <v>1.6628 B</v>
      </c>
      <c r="T9" s="13" t="str">
        <f>TEXT(RTD("cqg.rtd",,"ContractData",T6,"Bid",,"T"),"#.0000")&amp;" "&amp;"B"</f>
        <v>1.6793 B</v>
      </c>
      <c r="U9" s="100" t="str">
        <f>TEXT(RTD("cqg.rtd",,"ContractData",U6,"Bid",,"T"),"#.0000")&amp;" "&amp;"B"</f>
        <v>1.7050 B</v>
      </c>
      <c r="V9" s="73"/>
      <c r="W9" s="73"/>
    </row>
    <row r="10" spans="1:45" ht="15" customHeight="1" thickBot="1" x14ac:dyDescent="0.3">
      <c r="B10" s="124"/>
      <c r="C10" s="145"/>
      <c r="D10" s="182"/>
      <c r="E10" s="182"/>
      <c r="F10" s="175"/>
      <c r="G10" s="176"/>
      <c r="H10" s="176"/>
      <c r="I10" s="176"/>
      <c r="J10" s="13" t="str">
        <f>TEXT(RTD("cqg.rtd", ,"ContractData",J6,"LastTradeorSettle",,"T"),"#.0000")&amp;" "&amp;"L"</f>
        <v>1.8883 L</v>
      </c>
      <c r="K10" s="13" t="str">
        <f>TEXT(RTD("cqg.rtd", ,"ContractData",K6,"LastTradeorSettle",,"T"),"#.0000")&amp;" "&amp;"L"</f>
        <v>1.8917 L</v>
      </c>
      <c r="L10" s="13" t="str">
        <f>TEXT(RTD("cqg.rtd", ,"ContractData",L6,"LastTradeorSettle",,"T"),"#.0000")&amp;" "&amp;"L"</f>
        <v>1.8812 L</v>
      </c>
      <c r="M10" s="13" t="str">
        <f>TEXT(RTD("cqg.rtd", ,"ContractData",M6,"LastTradeorSettle",,"T"),"#.0000")&amp;" "&amp;"L"</f>
        <v>1.8664 L</v>
      </c>
      <c r="N10" s="13" t="str">
        <f>TEXT(RTD("cqg.rtd", ,"ContractData",N6,"LastTradeorSettle",,"T"),"#.0000")&amp;" "&amp;"L"</f>
        <v>1.8525 L</v>
      </c>
      <c r="O10" s="13" t="str">
        <f>TEXT(RTD("cqg.rtd", ,"ContractData",O6,"LastTradeorSettle",,"T"),"#.0000")&amp;" "&amp;"L"</f>
        <v>1.8275 L</v>
      </c>
      <c r="P10" s="13" t="str">
        <f>TEXT(RTD("cqg.rtd", ,"ContractData",P6,"LastTradeorSettle",,"T"),"#.0000")&amp;" "&amp;"L"</f>
        <v>1.7016 L</v>
      </c>
      <c r="Q10" s="13" t="str">
        <f>TEXT(RTD("cqg.rtd", ,"ContractData",Q6,"LastTradeorSettle",,"T"),"#.0000")&amp;" "&amp;"L"</f>
        <v>1.6757 L</v>
      </c>
      <c r="R10" s="13" t="str">
        <f>TEXT(RTD("cqg.rtd", ,"ContractData",R6,"LastTradeorSettle",,"T"),"#.0000")&amp;" "&amp;"L"</f>
        <v>1.6576 L</v>
      </c>
      <c r="S10" s="13" t="str">
        <f>TEXT(RTD("cqg.rtd", ,"ContractData",S6,"LastTradeorSettle",,"T"),"#.0000")&amp;" "&amp;"L"</f>
        <v>1.6650 L</v>
      </c>
      <c r="T10" s="13" t="str">
        <f>TEXT(RTD("cqg.rtd", ,"ContractData",T6,"LastTradeorSettle",,"T"),"#.0000")&amp;" "&amp;"L"</f>
        <v xml:space="preserve"> L</v>
      </c>
      <c r="U10" s="100" t="str">
        <f>TEXT(RTD("cqg.rtd", ,"ContractData",U6,"LastTradeorSettle",,"T"),"#.0000")&amp;" "&amp;"L"</f>
        <v xml:space="preserve"> L</v>
      </c>
      <c r="V10" s="73"/>
      <c r="W10" s="73"/>
    </row>
    <row r="11" spans="1:45" ht="15" hidden="1" customHeight="1" x14ac:dyDescent="0.25">
      <c r="B11" s="9"/>
      <c r="C11" s="10"/>
      <c r="D11" s="11"/>
      <c r="E11" s="11"/>
      <c r="F11" s="12"/>
      <c r="G11" s="12"/>
      <c r="H11" s="12"/>
      <c r="I11" s="12"/>
      <c r="J11" s="14"/>
      <c r="K11" s="15" t="str">
        <f>RTD("cqg.rtd", ,"ContractData",RBE!D2, "Symbol")</f>
        <v>RBES1J5</v>
      </c>
      <c r="L11" s="15" t="str">
        <f>RTD("cqg.rtd", ,"ContractData",RBE!E2, "Symbol")</f>
        <v>RBES1K5</v>
      </c>
      <c r="M11" s="15" t="str">
        <f>RTD("cqg.rtd", ,"ContractData",RBE!F2, "Symbol")</f>
        <v>RBES1M5</v>
      </c>
      <c r="N11" s="15" t="str">
        <f>RTD("cqg.rtd", ,"ContractData",RBE!G2, "Symbol")</f>
        <v>RBES1N5</v>
      </c>
      <c r="O11" s="15" t="str">
        <f>RTD("cqg.rtd", ,"ContractData",RBE!H2, "Symbol")</f>
        <v>RBES1Q5</v>
      </c>
      <c r="P11" s="15" t="str">
        <f>RTD("cqg.rtd", ,"ContractData",RBE!I2, "Symbol")</f>
        <v>RBES1U5</v>
      </c>
      <c r="Q11" s="15" t="str">
        <f>RTD("cqg.rtd", ,"ContractData",RBE!J2, "Symbol")</f>
        <v>RBES1V5</v>
      </c>
      <c r="R11" s="15" t="str">
        <f>RTD("cqg.rtd", ,"ContractData",RBE!K2, "Symbol")</f>
        <v>RBES1X5</v>
      </c>
      <c r="S11" s="15" t="str">
        <f>RTD("cqg.rtd", ,"ContractData",RBE!L2, "Symbol")</f>
        <v>RBES1Z5</v>
      </c>
      <c r="T11" s="15" t="str">
        <f>RTD("cqg.rtd", ,"ContractData",RBE!M2, "Symbol")</f>
        <v>RBES1F6</v>
      </c>
      <c r="U11" s="15" t="str">
        <f>RTD("cqg.rtd", ,"ContractData",RBE!N2, "Symbol")</f>
        <v>RBES1G6</v>
      </c>
      <c r="V11" s="75"/>
      <c r="W11" s="76"/>
    </row>
    <row r="12" spans="1:45" ht="15" customHeight="1" x14ac:dyDescent="0.25">
      <c r="B12" s="16" t="s">
        <v>11</v>
      </c>
      <c r="C12" s="17" t="s">
        <v>12</v>
      </c>
      <c r="D12" s="17" t="s">
        <v>13</v>
      </c>
      <c r="E12" s="17" t="s">
        <v>14</v>
      </c>
      <c r="F12" s="17" t="s">
        <v>10</v>
      </c>
      <c r="G12" s="17" t="s">
        <v>15</v>
      </c>
      <c r="H12" s="17" t="s">
        <v>15</v>
      </c>
      <c r="I12" s="18" t="s">
        <v>16</v>
      </c>
      <c r="J12" s="160" t="s">
        <v>8</v>
      </c>
      <c r="K12" s="161" t="str">
        <f>$J$7&amp;", "&amp;K7</f>
        <v>APR, MAY</v>
      </c>
      <c r="L12" s="161" t="str">
        <f>$K$7&amp;", "&amp;L7</f>
        <v>MAY, JUN</v>
      </c>
      <c r="M12" s="161" t="str">
        <f>$L$7&amp;", "&amp;M7</f>
        <v>JUN, JUL</v>
      </c>
      <c r="N12" s="161" t="str">
        <f>$M$7&amp;", "&amp;N7</f>
        <v>JUL, AUG</v>
      </c>
      <c r="O12" s="161" t="str">
        <f>$N$7&amp;", "&amp;O7</f>
        <v>AUG, SEP</v>
      </c>
      <c r="P12" s="161" t="str">
        <f>$O$7&amp;", "&amp;P7</f>
        <v>SEP, OCT</v>
      </c>
      <c r="Q12" s="161" t="str">
        <f>$P$7&amp;", "&amp;Q7</f>
        <v>OCT, NOV</v>
      </c>
      <c r="R12" s="161" t="str">
        <f>$Q$7&amp;", "&amp;R7</f>
        <v>NOV, DEC</v>
      </c>
      <c r="S12" s="161" t="str">
        <f>$R$7&amp;", "&amp;S7</f>
        <v>DEC, JAN</v>
      </c>
      <c r="T12" s="161" t="str">
        <f>$S$7&amp;", "&amp;T7</f>
        <v>JAN, FEB</v>
      </c>
      <c r="U12" s="162" t="str">
        <f>$T$7&amp;", "&amp;U7</f>
        <v>FEB, MAR</v>
      </c>
      <c r="V12" s="73"/>
      <c r="W12" s="77"/>
      <c r="AH12" s="7"/>
    </row>
    <row r="13" spans="1:45" ht="15" customHeight="1" x14ac:dyDescent="0.25">
      <c r="A13" s="24" t="str">
        <f>RTD("cqg.rtd",,"ContractData","RBE?1", "Symbol")</f>
        <v>RBEJ5</v>
      </c>
      <c r="B13" s="30" t="str">
        <f>RIGHT(RTD("cqg.rtd",,"ContractData",A13, "LongDescription"),7)</f>
        <v xml:space="preserve"> Apr 15</v>
      </c>
      <c r="C13" s="150">
        <f>RTD("cqg.rtd", ,"ContractData",A13, "Open",,"T")</f>
        <v>1.9222000000000001</v>
      </c>
      <c r="D13" s="150">
        <f>RTD("cqg.rtd", ,"ContractData",A13, "High",,"T")</f>
        <v>1.9325000000000001</v>
      </c>
      <c r="E13" s="150">
        <f>RTD("cqg.rtd", ,"ContractData",A13, "Low",,"T")</f>
        <v>1.8873000000000002</v>
      </c>
      <c r="F13" s="150">
        <f>RTD("cqg.rtd", ,"ContractData",A13, "LastTradeorSettle",,"T")</f>
        <v>1.8883000000000001</v>
      </c>
      <c r="G13" s="151">
        <f>RTD("cqg.rtd",,"ContractData",A13,"NetLastTradeToday",,"T")</f>
        <v>-3.7400000000000003E-2</v>
      </c>
      <c r="H13" s="19">
        <f>RTD("cqg.rtd",,"ContractData",A13,"NetLastTradeToday",,"T")</f>
        <v>-3.7400000000000003E-2</v>
      </c>
      <c r="I13" s="27">
        <f>RTD("cqg.rtd", ,"ContractData",A13, "T_CVol")</f>
        <v>24370</v>
      </c>
      <c r="J13" s="163"/>
      <c r="K13" s="164" t="str">
        <f>TEXT(RTD("cqg.rtd",,"ContractData",K11,"Ask",,"T"),"#.0000")&amp;" "&amp;"A"</f>
        <v>-.0034 A</v>
      </c>
      <c r="L13" s="164" t="str">
        <f>TEXT(RTD("cqg.rtd",,"ContractData",L11,"Ask",,"T"),"#.0000")&amp;" "&amp;"A"</f>
        <v>.0105 A</v>
      </c>
      <c r="M13" s="164" t="str">
        <f>TEXT(RTD("cqg.rtd",,"ContractData",M11,"Ask",,"T"),"#.0000")&amp;" "&amp;"A"</f>
        <v>.0141 A</v>
      </c>
      <c r="N13" s="164" t="str">
        <f>TEXT(RTD("cqg.rtd",,"ContractData",N11,"Ask",,"T"),"#.0000")&amp;" "&amp;"A"</f>
        <v>.0169 A</v>
      </c>
      <c r="O13" s="164" t="str">
        <f>TEXT(RTD("cqg.rtd",,"ContractData",O11,"Ask",,"T"),"#.0000")&amp;" "&amp;"A"</f>
        <v>.0224 A</v>
      </c>
      <c r="P13" s="164" t="str">
        <f>TEXT(RTD("cqg.rtd",,"ContractData",P11,"Ask",,"T"),"#.0000")&amp;" "&amp;"A"</f>
        <v>.1260 A</v>
      </c>
      <c r="Q13" s="164" t="str">
        <f>TEXT(RTD("cqg.rtd",,"ContractData",Q11,"Ask",,"T"),"#.0000")&amp;" "&amp;"A"</f>
        <v>.0283 A</v>
      </c>
      <c r="R13" s="164" t="str">
        <f>TEXT(RTD("cqg.rtd",,"ContractData",R11,"Ask",,"T"),"#.0000")&amp;" "&amp;"A"</f>
        <v>.0162 A</v>
      </c>
      <c r="S13" s="164" t="str">
        <f>TEXT(RTD("cqg.rtd",,"ContractData",S11,"Ask",,"T"),"#.0000")&amp;" "&amp;"A"</f>
        <v>-.0050 A</v>
      </c>
      <c r="T13" s="164" t="str">
        <f>TEXT(RTD("cqg.rtd",,"ContractData",T11,"Ask",,"T"),"#.0000")&amp;" "&amp;"A"</f>
        <v>-.0177 A</v>
      </c>
      <c r="U13" s="165" t="str">
        <f>TEXT(RTD("cqg.rtd",,"ContractData",U11,"Ask",,"T"),"#.0000")&amp;" "&amp;"A"</f>
        <v>-.0263 A</v>
      </c>
      <c r="V13" s="73"/>
      <c r="W13" s="73"/>
      <c r="X13" s="8" t="s">
        <v>7</v>
      </c>
      <c r="Y13" s="8" t="s">
        <v>7</v>
      </c>
    </row>
    <row r="14" spans="1:45" ht="15" customHeight="1" x14ac:dyDescent="0.25">
      <c r="A14" s="24" t="str">
        <f>RTD("cqg.rtd",,"ContractData","RBE?2", "Symbol")</f>
        <v>RBEK5</v>
      </c>
      <c r="B14" s="30" t="str">
        <f>RIGHT(RTD("cqg.rtd",,"ContractData",A14, "LongDescription"),7)</f>
        <v xml:space="preserve"> May 15</v>
      </c>
      <c r="C14" s="150">
        <f>RTD("cqg.rtd", ,"ContractData",A14, "Open",,"T")</f>
        <v>1.921</v>
      </c>
      <c r="D14" s="150">
        <f>RTD("cqg.rtd", ,"ContractData",A14, "High",,"T")</f>
        <v>1.9281000000000001</v>
      </c>
      <c r="E14" s="150">
        <f>RTD("cqg.rtd", ,"ContractData",A14, "Low",,"T")</f>
        <v>1.8903000000000001</v>
      </c>
      <c r="F14" s="150">
        <f>RTD("cqg.rtd", ,"ContractData",A14, "LastTradeorSettle",,"T")</f>
        <v>1.8917000000000002</v>
      </c>
      <c r="G14" s="151">
        <f>RTD("cqg.rtd",,"ContractData",A14,"NetLastTradeToday",,"T")</f>
        <v>-3.0200000000000001E-2</v>
      </c>
      <c r="H14" s="19">
        <f>RTD("cqg.rtd",,"ContractData",A14,"NetLastTradeToday",,"T")</f>
        <v>-3.0200000000000001E-2</v>
      </c>
      <c r="I14" s="27">
        <f>RTD("cqg.rtd", ,"ContractData",A14, "T_CVol")</f>
        <v>22344</v>
      </c>
      <c r="J14" s="163"/>
      <c r="K14" s="164" t="str">
        <f>TEXT(RTD("cqg.rtd", ,"ContractData",K11,"Bid",,"T"),"#.0000")&amp;" "&amp;"B"</f>
        <v>-.0035 B</v>
      </c>
      <c r="L14" s="164" t="str">
        <f>TEXT(RTD("cqg.rtd", ,"ContractData",L11,"Bid",,"T"),"#.0000")&amp;" "&amp;"B"</f>
        <v>.0104 B</v>
      </c>
      <c r="M14" s="164" t="str">
        <f>TEXT(RTD("cqg.rtd", ,"ContractData",M11,"Bid",,"T"),"#.0000")&amp;" "&amp;"B"</f>
        <v>.0140 B</v>
      </c>
      <c r="N14" s="164" t="str">
        <f>TEXT(RTD("cqg.rtd", ,"ContractData",N11,"Bid",,"T"),"#.0000")&amp;" "&amp;"B"</f>
        <v>.0168 B</v>
      </c>
      <c r="O14" s="164" t="str">
        <f>TEXT(RTD("cqg.rtd", ,"ContractData",O11,"Bid",,"T"),"#.0000")&amp;" "&amp;"B"</f>
        <v>.0223 B</v>
      </c>
      <c r="P14" s="164" t="str">
        <f>TEXT(RTD("cqg.rtd", ,"ContractData",P11,"Bid",,"T"),"#.0000")&amp;" "&amp;"B"</f>
        <v>.1259 B</v>
      </c>
      <c r="Q14" s="164" t="str">
        <f>TEXT(RTD("cqg.rtd", ,"ContractData",Q11,"Bid",,"T"),"#.0000")&amp;" "&amp;"B"</f>
        <v>.0280 B</v>
      </c>
      <c r="R14" s="164" t="str">
        <f>TEXT(RTD("cqg.rtd", ,"ContractData",R11,"Bid",,"T"),"#.0000")&amp;" "&amp;"B"</f>
        <v>.0159 B</v>
      </c>
      <c r="S14" s="164" t="str">
        <f>TEXT(RTD("cqg.rtd", ,"ContractData",S11,"Bid",,"T"),"#.0000")&amp;" "&amp;"B"</f>
        <v>-.0056 B</v>
      </c>
      <c r="T14" s="164" t="str">
        <f>TEXT(RTD("cqg.rtd", ,"ContractData",T11,"Bid",,"T"),"#.0000")&amp;" "&amp;"B"</f>
        <v>-.0188 B</v>
      </c>
      <c r="U14" s="165" t="str">
        <f>TEXT(RTD("cqg.rtd", ,"ContractData",U11,"Bid",,"T"),"#.0000")&amp;" "&amp;"B"</f>
        <v>-.0274 B</v>
      </c>
      <c r="V14" s="73"/>
      <c r="W14" s="73"/>
    </row>
    <row r="15" spans="1:45" ht="15" customHeight="1" x14ac:dyDescent="0.25">
      <c r="A15" s="24" t="str">
        <f>RTD("cqg.rtd",,"ContractData","RBE?3", "Symbol")</f>
        <v>RBEM5</v>
      </c>
      <c r="B15" s="30" t="str">
        <f>RIGHT(RTD("cqg.rtd",,"ContractData",A15, "LongDescription"),7)</f>
        <v xml:space="preserve"> Jun 15</v>
      </c>
      <c r="C15" s="150">
        <f>RTD("cqg.rtd", ,"ContractData",A15, "Open",,"T")</f>
        <v>1.9067000000000001</v>
      </c>
      <c r="D15" s="150">
        <f>RTD("cqg.rtd", ,"ContractData",A15, "High",,"T")</f>
        <v>1.9105000000000001</v>
      </c>
      <c r="E15" s="150">
        <f>RTD("cqg.rtd", ,"ContractData",A15, "Low",,"T")</f>
        <v>1.8789</v>
      </c>
      <c r="F15" s="150">
        <f>RTD("cqg.rtd", ,"ContractData",A15, "LastTradeorSettle",,"T")</f>
        <v>1.8812</v>
      </c>
      <c r="G15" s="151">
        <f>RTD("cqg.rtd",,"ContractData",A15,"NetLastTradeToday",,"T")</f>
        <v>-2.3700000000000002E-2</v>
      </c>
      <c r="H15" s="19">
        <f>RTD("cqg.rtd",,"ContractData",A15,"NetLastTradeToday",,"T")</f>
        <v>-2.3700000000000002E-2</v>
      </c>
      <c r="I15" s="27">
        <f>RTD("cqg.rtd", ,"ContractData",A15, "T_CVol")</f>
        <v>15994</v>
      </c>
      <c r="J15" s="163"/>
      <c r="K15" s="164" t="str">
        <f>TEXT(RTD("cqg.rtd", ,"ContractData",K11,"LastTradeorSettle",,"T"),"#.0000")&amp;" "&amp;"L"</f>
        <v>-.0035 L</v>
      </c>
      <c r="L15" s="164" t="str">
        <f>TEXT(RTD("cqg.rtd", ,"ContractData",L11,"LastTradeorSettle",,"T"),"#.0000")&amp;" "&amp;"L"</f>
        <v>.0105 L</v>
      </c>
      <c r="M15" s="164" t="str">
        <f>TEXT(RTD("cqg.rtd", ,"ContractData",M11,"LastTradeorSettle",,"T"),"#.0000")&amp;" "&amp;"L"</f>
        <v>.0140 L</v>
      </c>
      <c r="N15" s="164" t="str">
        <f>TEXT(RTD("cqg.rtd", ,"ContractData",N11,"LastTradeorSettle",,"T"),"#.0000")&amp;" "&amp;"L"</f>
        <v>.0169 L</v>
      </c>
      <c r="O15" s="164" t="str">
        <f>TEXT(RTD("cqg.rtd", ,"ContractData",O11,"LastTradeorSettle",,"T"),"#.0000")&amp;" "&amp;"L"</f>
        <v>.0224 L</v>
      </c>
      <c r="P15" s="164" t="str">
        <f>TEXT(RTD("cqg.rtd", ,"ContractData",P11,"LastTradeorSettle",,"T"),"#.0000")&amp;" "&amp;"L"</f>
        <v>.1259 L</v>
      </c>
      <c r="Q15" s="164" t="str">
        <f>TEXT(RTD("cqg.rtd", ,"ContractData",Q11,"LastTradeorSettle",,"T"),"#.0000")&amp;" "&amp;"L"</f>
        <v>.0283 L</v>
      </c>
      <c r="R15" s="164" t="str">
        <f>TEXT(RTD("cqg.rtd", ,"ContractData",R11,"LastTradeorSettle",,"T"),"#.0000")&amp;" "&amp;"L"</f>
        <v>.0162 L</v>
      </c>
      <c r="S15" s="164" t="str">
        <f>TEXT(RTD("cqg.rtd", ,"ContractData",S11,"LastTradeorSettle",,"T"),"#.0000")&amp;" "&amp;"L"</f>
        <v>-.0051 L</v>
      </c>
      <c r="T15" s="164" t="str">
        <f>TEXT(RTD("cqg.rtd", ,"ContractData",T11,"LastTradeorSettle",,"T"),"#.0000")&amp;" "&amp;"L"</f>
        <v>-.0174 L</v>
      </c>
      <c r="U15" s="165" t="str">
        <f>TEXT(RTD("cqg.rtd", ,"ContractData",U11,"LastTradeorSettle",,"T"),"#.0000")&amp;" "&amp;"L"</f>
        <v xml:space="preserve"> L</v>
      </c>
      <c r="V15" s="73"/>
      <c r="W15" s="73"/>
    </row>
    <row r="16" spans="1:45" ht="15" customHeight="1" x14ac:dyDescent="0.25">
      <c r="A16" s="24" t="str">
        <f>RTD("cqg.rtd",,"ContractData","RBE?4", "Symbol")</f>
        <v>RBEN5</v>
      </c>
      <c r="B16" s="30" t="str">
        <f>RIGHT(RTD("cqg.rtd",,"ContractData",A16, "LongDescription"),7)</f>
        <v xml:space="preserve"> Jul 15</v>
      </c>
      <c r="C16" s="150">
        <f>RTD("cqg.rtd", ,"ContractData",A16, "Open",,"T")</f>
        <v>1.8843000000000001</v>
      </c>
      <c r="D16" s="150">
        <f>RTD("cqg.rtd", ,"ContractData",A16, "High",,"T")</f>
        <v>1.8906000000000001</v>
      </c>
      <c r="E16" s="150">
        <f>RTD("cqg.rtd", ,"ContractData",A16, "Low",,"T")</f>
        <v>1.8639000000000001</v>
      </c>
      <c r="F16" s="150">
        <f>RTD("cqg.rtd", ,"ContractData",A16, "LastTradeorSettle",,"T")</f>
        <v>1.8664000000000001</v>
      </c>
      <c r="G16" s="151">
        <f>RTD("cqg.rtd",,"ContractData",A16,"NetLastTradeToday",,"T")</f>
        <v>-2.1000000000000001E-2</v>
      </c>
      <c r="H16" s="19">
        <f>RTD("cqg.rtd",,"ContractData",A16,"NetLastTradeToday",,"T")</f>
        <v>-2.1000000000000001E-2</v>
      </c>
      <c r="I16" s="27">
        <f>RTD("cqg.rtd", ,"ContractData",A16, "T_CVol")</f>
        <v>8049</v>
      </c>
      <c r="J16" s="166"/>
      <c r="K16" s="167"/>
      <c r="L16" s="167"/>
      <c r="M16" s="167"/>
      <c r="N16" s="167"/>
      <c r="O16" s="167"/>
      <c r="P16" s="167"/>
      <c r="Q16" s="167"/>
      <c r="R16" s="167"/>
      <c r="S16" s="167"/>
      <c r="T16" s="167"/>
      <c r="U16" s="168"/>
      <c r="V16" s="42"/>
    </row>
    <row r="17" spans="1:35" ht="15" customHeight="1" x14ac:dyDescent="0.25">
      <c r="A17" s="24" t="str">
        <f>RTD("cqg.rtd",,"ContractData","RBE?5", "Symbol")</f>
        <v>RBEQ5</v>
      </c>
      <c r="B17" s="30" t="str">
        <f>RIGHT(RTD("cqg.rtd",,"ContractData",A17, "LongDescription"),7)</f>
        <v xml:space="preserve"> Aug 15</v>
      </c>
      <c r="C17" s="150">
        <f>RTD("cqg.rtd", ,"ContractData",A17, "Open",,"T")</f>
        <v>1.8682000000000001</v>
      </c>
      <c r="D17" s="150">
        <f>RTD("cqg.rtd", ,"ContractData",A17, "High",,"T")</f>
        <v>1.8743000000000001</v>
      </c>
      <c r="E17" s="150">
        <f>RTD("cqg.rtd", ,"ContractData",A17, "Low",,"T")</f>
        <v>1.8469</v>
      </c>
      <c r="F17" s="150">
        <f>RTD("cqg.rtd", ,"ContractData",A17, "LastTradeorSettle",,"T")</f>
        <v>1.8525</v>
      </c>
      <c r="G17" s="151">
        <f>RTD("cqg.rtd",,"ContractData",A17,"NetLastTradeToday",,"T")</f>
        <v>-1.6500000000000001E-2</v>
      </c>
      <c r="H17" s="19">
        <f>RTD("cqg.rtd",,"ContractData",A17,"NetLastTradeToday",,"T")</f>
        <v>-1.6500000000000001E-2</v>
      </c>
      <c r="I17" s="27">
        <f>RTD("cqg.rtd", ,"ContractData",A17, "T_CVol")</f>
        <v>4495</v>
      </c>
      <c r="J17" s="64"/>
      <c r="K17" s="5"/>
      <c r="L17" s="5"/>
      <c r="M17" s="5"/>
      <c r="N17" s="5"/>
      <c r="O17" s="5"/>
      <c r="P17" s="5"/>
      <c r="Q17" s="5"/>
      <c r="R17" s="5"/>
      <c r="S17" s="5"/>
      <c r="T17" s="5"/>
      <c r="U17" s="169"/>
      <c r="V17" s="42"/>
      <c r="W17" s="8" t="s">
        <v>7</v>
      </c>
    </row>
    <row r="18" spans="1:35" ht="15" customHeight="1" x14ac:dyDescent="0.25">
      <c r="A18" s="24" t="str">
        <f>RTD("cqg.rtd",,"ContractData","RBE?6", "Symbol")</f>
        <v>RBEU5</v>
      </c>
      <c r="B18" s="30" t="str">
        <f>RIGHT(RTD("cqg.rtd",,"ContractData",A18, "LongDescription"),7)</f>
        <v xml:space="preserve"> Sep 15</v>
      </c>
      <c r="C18" s="150">
        <f>RTD("cqg.rtd", ,"ContractData",A18, "Open",,"T")</f>
        <v>1.8367</v>
      </c>
      <c r="D18" s="150">
        <f>RTD("cqg.rtd", ,"ContractData",A18, "High",,"T")</f>
        <v>1.8450000000000002</v>
      </c>
      <c r="E18" s="150">
        <f>RTD("cqg.rtd", ,"ContractData",A18, "Low",,"T")</f>
        <v>1.8275000000000001</v>
      </c>
      <c r="F18" s="150">
        <f>RTD("cqg.rtd", ,"ContractData",A18, "LastTradeorSettle",,"T")</f>
        <v>1.8275000000000001</v>
      </c>
      <c r="G18" s="151">
        <f>RTD("cqg.rtd",,"ContractData",A18,"NetLastTradeToday",,"T")</f>
        <v>-1.8000000000000002E-2</v>
      </c>
      <c r="H18" s="19">
        <f>RTD("cqg.rtd",,"ContractData",A18,"NetLastTradeToday",,"T")</f>
        <v>-1.8000000000000002E-2</v>
      </c>
      <c r="I18" s="27">
        <f>RTD("cqg.rtd", ,"ContractData",A18, "T_CVol")</f>
        <v>3644</v>
      </c>
      <c r="J18" s="64"/>
      <c r="K18" s="5"/>
      <c r="L18" s="5"/>
      <c r="M18" s="5"/>
      <c r="N18" s="5"/>
      <c r="O18" s="5"/>
      <c r="P18" s="5"/>
      <c r="Q18" s="65"/>
      <c r="R18" s="42"/>
      <c r="S18" s="42"/>
      <c r="T18" s="42"/>
      <c r="U18" s="66"/>
      <c r="V18" s="42"/>
    </row>
    <row r="19" spans="1:35" ht="15" customHeight="1" x14ac:dyDescent="0.25">
      <c r="A19" s="24" t="str">
        <f>RTD("cqg.rtd",,"ContractData","RBE?7", "Symbol")</f>
        <v>RBEV5</v>
      </c>
      <c r="B19" s="30" t="str">
        <f>RIGHT(RTD("cqg.rtd",,"ContractData",A19, "LongDescription"),7)</f>
        <v xml:space="preserve"> Oct 15</v>
      </c>
      <c r="C19" s="150">
        <f>RTD("cqg.rtd", ,"ContractData",A19, "Open",,"T")</f>
        <v>1.7159</v>
      </c>
      <c r="D19" s="150">
        <f>RTD("cqg.rtd", ,"ContractData",A19, "High",,"T")</f>
        <v>1.7159</v>
      </c>
      <c r="E19" s="150">
        <f>RTD("cqg.rtd", ,"ContractData",A19, "Low",,"T")</f>
        <v>1.7014</v>
      </c>
      <c r="F19" s="150">
        <f>RTD("cqg.rtd", ,"ContractData",A19, "LastTradeorSettle",,"T")</f>
        <v>1.7016</v>
      </c>
      <c r="G19" s="151">
        <f>RTD("cqg.rtd",,"ContractData",A19,"NetLastTradeToday",,"T")</f>
        <v>-1.5100000000000001E-2</v>
      </c>
      <c r="H19" s="19">
        <f>RTD("cqg.rtd",,"ContractData",A19,"NetLastTradeToday",,"T")</f>
        <v>-1.5100000000000001E-2</v>
      </c>
      <c r="I19" s="27">
        <f>RTD("cqg.rtd", ,"ContractData",A19, "T_CVol")</f>
        <v>1560</v>
      </c>
      <c r="J19" s="64"/>
      <c r="K19" s="5"/>
      <c r="L19" s="5"/>
      <c r="M19" s="5"/>
      <c r="N19" s="5"/>
      <c r="O19" s="5"/>
      <c r="P19" s="5"/>
      <c r="Q19" s="65"/>
      <c r="R19" s="42"/>
      <c r="S19" s="42"/>
      <c r="T19" s="42"/>
      <c r="U19" s="66"/>
      <c r="V19" s="42"/>
    </row>
    <row r="20" spans="1:35" ht="15" customHeight="1" x14ac:dyDescent="0.25">
      <c r="A20" s="24" t="str">
        <f>RTD("cqg.rtd",,"ContractData","RBE?8", "Symbol")</f>
        <v>RBEX5</v>
      </c>
      <c r="B20" s="30" t="str">
        <f>RIGHT(RTD("cqg.rtd",,"ContractData",A20, "LongDescription"),7)</f>
        <v xml:space="preserve"> Nov 15</v>
      </c>
      <c r="C20" s="150">
        <f>RTD("cqg.rtd", ,"ContractData",A20, "Open",,"T")</f>
        <v>1.6795</v>
      </c>
      <c r="D20" s="150">
        <f>RTD("cqg.rtd", ,"ContractData",A20, "High",,"T")</f>
        <v>1.6795</v>
      </c>
      <c r="E20" s="150">
        <f>RTD("cqg.rtd", ,"ContractData",A20, "Low",,"T")</f>
        <v>1.6755</v>
      </c>
      <c r="F20" s="150">
        <f>RTD("cqg.rtd", ,"ContractData",A20, "LastTradeorSettle",,"T")</f>
        <v>1.6757000000000002</v>
      </c>
      <c r="G20" s="151">
        <f>RTD("cqg.rtd",,"ContractData",A20,"NetLastTradeToday",,"T")</f>
        <v>-1.14E-2</v>
      </c>
      <c r="H20" s="19">
        <f>RTD("cqg.rtd",,"ContractData",A20,"NetLastTradeToday",,"T")</f>
        <v>-1.14E-2</v>
      </c>
      <c r="I20" s="27">
        <f>RTD("cqg.rtd", ,"ContractData",A20, "T_CVol")</f>
        <v>648</v>
      </c>
      <c r="J20" s="64"/>
      <c r="K20" s="5"/>
      <c r="L20" s="5"/>
      <c r="M20" s="5"/>
      <c r="N20" s="5"/>
      <c r="O20" s="5"/>
      <c r="P20" s="5"/>
      <c r="Q20" s="68"/>
      <c r="R20" s="42"/>
      <c r="S20" s="42"/>
      <c r="T20" s="42"/>
      <c r="U20" s="66"/>
      <c r="V20" s="42"/>
    </row>
    <row r="21" spans="1:35" ht="15" customHeight="1" x14ac:dyDescent="0.25">
      <c r="A21" s="24" t="str">
        <f>RTD("cqg.rtd",,"ContractData","RBE?9", "Symbol")</f>
        <v>RBEZ5</v>
      </c>
      <c r="B21" s="30" t="str">
        <f>RIGHT(RTD("cqg.rtd",,"ContractData",A21, "LongDescription"),7)</f>
        <v xml:space="preserve"> Dec 15</v>
      </c>
      <c r="C21" s="150">
        <f>RTD("cqg.rtd", ,"ContractData",A21, "Open",,"T")</f>
        <v>1.6701000000000001</v>
      </c>
      <c r="D21" s="150">
        <f>RTD("cqg.rtd", ,"ContractData",A21, "High",,"T")</f>
        <v>1.6779000000000002</v>
      </c>
      <c r="E21" s="150">
        <f>RTD("cqg.rtd", ,"ContractData",A21, "Low",,"T")</f>
        <v>1.655</v>
      </c>
      <c r="F21" s="150">
        <f>RTD("cqg.rtd", ,"ContractData",A21, "LastTradeorSettle",,"T")</f>
        <v>1.6576000000000002</v>
      </c>
      <c r="G21" s="151">
        <f>RTD("cqg.rtd",,"ContractData",A21,"NetLastTradeToday",,"T")</f>
        <v>-1.3000000000000001E-2</v>
      </c>
      <c r="H21" s="19">
        <f>RTD("cqg.rtd",,"ContractData",A21,"NetLastTradeToday",,"T")</f>
        <v>-1.3000000000000001E-2</v>
      </c>
      <c r="I21" s="27">
        <f>RTD("cqg.rtd", ,"ContractData",A21, "T_CVol")</f>
        <v>1902</v>
      </c>
      <c r="J21" s="64"/>
      <c r="K21" s="5"/>
      <c r="L21" s="5"/>
      <c r="M21" s="5"/>
      <c r="N21" s="5"/>
      <c r="O21" s="5"/>
      <c r="P21" s="5"/>
      <c r="Q21" s="65"/>
      <c r="R21" s="42"/>
      <c r="S21" s="42"/>
      <c r="T21" s="42"/>
      <c r="U21" s="66"/>
      <c r="V21" s="42"/>
    </row>
    <row r="22" spans="1:35" s="7" customFormat="1" ht="15" customHeight="1" x14ac:dyDescent="0.25">
      <c r="A22" s="24" t="str">
        <f>RTD("cqg.rtd",,"ContractData","RBE?10", "Symbol")</f>
        <v>RBEF6</v>
      </c>
      <c r="B22" s="30" t="str">
        <f>RIGHT(RTD("cqg.rtd",,"ContractData",A22, "LongDescription"),7)</f>
        <v xml:space="preserve"> Jan 16</v>
      </c>
      <c r="C22" s="150">
        <f>RTD("cqg.rtd", ,"ContractData",A22, "Open",,"T")</f>
        <v>1.6716</v>
      </c>
      <c r="D22" s="150">
        <f>RTD("cqg.rtd", ,"ContractData",A22, "High",,"T")</f>
        <v>1.6716</v>
      </c>
      <c r="E22" s="150">
        <f>RTD("cqg.rtd", ,"ContractData",A22, "Low",,"T")</f>
        <v>1.6642000000000001</v>
      </c>
      <c r="F22" s="150">
        <f>RTD("cqg.rtd", ,"ContractData",A22, "LastTradeorSettle",,"T")</f>
        <v>1.665</v>
      </c>
      <c r="G22" s="151">
        <f>RTD("cqg.rtd",,"ContractData",A22,"NetLastTradeToday",,"T")</f>
        <v>-1.0700000000000001E-2</v>
      </c>
      <c r="H22" s="19">
        <f>RTD("cqg.rtd",,"ContractData",A22,"NetLastTradeToday",,"T")</f>
        <v>-1.0700000000000001E-2</v>
      </c>
      <c r="I22" s="27">
        <f>RTD("cqg.rtd", ,"ContractData",A22, "T_CVol")</f>
        <v>50</v>
      </c>
      <c r="J22" s="64"/>
      <c r="K22" s="5"/>
      <c r="L22" s="5"/>
      <c r="M22" s="5"/>
      <c r="N22" s="5"/>
      <c r="O22" s="5"/>
      <c r="P22" s="5"/>
      <c r="Q22" s="65"/>
      <c r="R22" s="42"/>
      <c r="S22" s="42"/>
      <c r="T22" s="42"/>
      <c r="U22" s="66"/>
      <c r="V22" s="42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</row>
    <row r="23" spans="1:35" s="7" customFormat="1" ht="15" customHeight="1" x14ac:dyDescent="0.25">
      <c r="A23" s="24" t="str">
        <f>RTD("cqg.rtd",,"ContractData","RBE?11", "Symbol")</f>
        <v>RBEG6</v>
      </c>
      <c r="B23" s="30" t="str">
        <f>RIGHT(RTD("cqg.rtd",,"ContractData",A23, "LongDescription"),7)</f>
        <v xml:space="preserve"> Feb 16</v>
      </c>
      <c r="C23" s="150" t="str">
        <f>RTD("cqg.rtd", ,"ContractData",A23, "Open",,"T")</f>
        <v/>
      </c>
      <c r="D23" s="150" t="str">
        <f>RTD("cqg.rtd", ,"ContractData",A23, "High",,"T")</f>
        <v/>
      </c>
      <c r="E23" s="150" t="str">
        <f>RTD("cqg.rtd", ,"ContractData",A23, "Low",,"T")</f>
        <v/>
      </c>
      <c r="F23" s="150" t="str">
        <f>RTD("cqg.rtd", ,"ContractData",A23, "LastTradeorSettle",,"T")</f>
        <v/>
      </c>
      <c r="G23" s="151" t="str">
        <f>RTD("cqg.rtd",,"ContractData",A23,"NetLastTradeToday",,"T")</f>
        <v/>
      </c>
      <c r="H23" s="19" t="str">
        <f>RTD("cqg.rtd",,"ContractData",A23,"NetLastTradeToday",,"T")</f>
        <v/>
      </c>
      <c r="I23" s="27">
        <f>RTD("cqg.rtd", ,"ContractData",A23, "T_CVol")</f>
        <v>1</v>
      </c>
      <c r="J23" s="64"/>
      <c r="K23" s="5"/>
      <c r="L23" s="5"/>
      <c r="M23" s="5"/>
      <c r="N23" s="5"/>
      <c r="O23" s="5"/>
      <c r="P23" s="5"/>
      <c r="Q23" s="65"/>
      <c r="R23" s="42"/>
      <c r="S23" s="42"/>
      <c r="T23" s="42"/>
      <c r="U23" s="66"/>
      <c r="V23" s="42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</row>
    <row r="24" spans="1:35" s="7" customFormat="1" ht="15" customHeight="1" x14ac:dyDescent="0.25">
      <c r="A24" s="24"/>
      <c r="B24" s="127"/>
      <c r="C24" s="128"/>
      <c r="D24" s="81"/>
      <c r="E24" s="79"/>
      <c r="F24" s="82"/>
      <c r="G24" s="79"/>
      <c r="H24" s="83"/>
      <c r="I24" s="80"/>
      <c r="J24" s="170"/>
      <c r="K24" s="53"/>
      <c r="L24" s="53"/>
      <c r="M24" s="53"/>
      <c r="N24" s="53"/>
      <c r="O24" s="53"/>
      <c r="P24" s="53"/>
      <c r="Q24" s="171"/>
      <c r="R24" s="54"/>
      <c r="S24" s="54"/>
      <c r="T24" s="54"/>
      <c r="U24" s="172"/>
      <c r="V24" s="42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</row>
    <row r="25" spans="1:35" s="7" customFormat="1" ht="15" customHeight="1" x14ac:dyDescent="0.25">
      <c r="A25" s="24"/>
      <c r="B25" s="110" t="s">
        <v>18</v>
      </c>
      <c r="C25" s="111"/>
      <c r="D25" s="111"/>
      <c r="E25" s="111"/>
      <c r="F25" s="111"/>
      <c r="G25" s="111"/>
      <c r="H25" s="111"/>
      <c r="I25" s="112"/>
      <c r="J25" s="32" t="s">
        <v>8</v>
      </c>
      <c r="K25" s="33" t="str">
        <f>$J$7&amp;", "&amp;K7</f>
        <v>APR, MAY</v>
      </c>
      <c r="L25" s="33" t="str">
        <f>$K$7&amp;", "&amp;L7</f>
        <v>MAY, JUN</v>
      </c>
      <c r="M25" s="33" t="str">
        <f>$L$7&amp;", "&amp;M7</f>
        <v>JUN, JUL</v>
      </c>
      <c r="N25" s="33" t="str">
        <f>$M$7&amp;", "&amp;N7</f>
        <v>JUL, AUG</v>
      </c>
      <c r="O25" s="33" t="str">
        <f>$N$7&amp;", "&amp;O7</f>
        <v>AUG, SEP</v>
      </c>
      <c r="P25" s="33" t="str">
        <f>$O$7&amp;", "&amp;P7</f>
        <v>SEP, OCT</v>
      </c>
      <c r="Q25" s="33" t="str">
        <f>$P$7&amp;", "&amp;Q7</f>
        <v>OCT, NOV</v>
      </c>
      <c r="R25" s="33" t="str">
        <f>$Q$7&amp;", "&amp;R7</f>
        <v>NOV, DEC</v>
      </c>
      <c r="S25" s="33" t="str">
        <f>$R$7&amp;", "&amp;S7</f>
        <v>DEC, JAN</v>
      </c>
      <c r="T25" s="33" t="str">
        <f>$S$7&amp;", "&amp;T7</f>
        <v>JAN, FEB</v>
      </c>
      <c r="U25" s="33" t="str">
        <f>$T$7&amp;", "&amp;U7</f>
        <v>FEB, MAR</v>
      </c>
      <c r="V25" s="42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</row>
    <row r="26" spans="1:35" s="7" customFormat="1" ht="15" customHeight="1" x14ac:dyDescent="0.25">
      <c r="A26" s="24"/>
      <c r="B26" s="113"/>
      <c r="C26" s="114"/>
      <c r="D26" s="114"/>
      <c r="E26" s="114"/>
      <c r="F26" s="114"/>
      <c r="G26" s="114"/>
      <c r="H26" s="114"/>
      <c r="I26" s="115"/>
      <c r="J26" s="116"/>
      <c r="K26" s="158" t="str">
        <f>K13</f>
        <v>-.0034 A</v>
      </c>
      <c r="L26" s="158" t="str">
        <f t="shared" ref="L26:U26" si="3">L13</f>
        <v>.0105 A</v>
      </c>
      <c r="M26" s="158" t="str">
        <f t="shared" si="3"/>
        <v>.0141 A</v>
      </c>
      <c r="N26" s="158" t="str">
        <f t="shared" si="3"/>
        <v>.0169 A</v>
      </c>
      <c r="O26" s="158" t="str">
        <f t="shared" si="3"/>
        <v>.0224 A</v>
      </c>
      <c r="P26" s="158" t="str">
        <f t="shared" si="3"/>
        <v>.1260 A</v>
      </c>
      <c r="Q26" s="158" t="str">
        <f t="shared" si="3"/>
        <v>.0283 A</v>
      </c>
      <c r="R26" s="158" t="str">
        <f t="shared" si="3"/>
        <v>.0162 A</v>
      </c>
      <c r="S26" s="158" t="str">
        <f t="shared" si="3"/>
        <v>-.0050 A</v>
      </c>
      <c r="T26" s="158" t="str">
        <f t="shared" si="3"/>
        <v>-.0177 A</v>
      </c>
      <c r="U26" s="158" t="str">
        <f t="shared" si="3"/>
        <v>-.0263 A</v>
      </c>
      <c r="V26" s="42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</row>
    <row r="27" spans="1:35" ht="15" customHeight="1" x14ac:dyDescent="0.25">
      <c r="B27" s="36" t="s">
        <v>19</v>
      </c>
      <c r="C27" s="17" t="s">
        <v>12</v>
      </c>
      <c r="D27" s="17" t="s">
        <v>13</v>
      </c>
      <c r="E27" s="17" t="s">
        <v>14</v>
      </c>
      <c r="F27" s="17" t="s">
        <v>10</v>
      </c>
      <c r="G27" s="17" t="s">
        <v>15</v>
      </c>
      <c r="H27" s="17" t="s">
        <v>15</v>
      </c>
      <c r="I27" s="28" t="s">
        <v>16</v>
      </c>
      <c r="J27" s="116"/>
      <c r="K27" s="158" t="str">
        <f>K14</f>
        <v>-.0035 B</v>
      </c>
      <c r="L27" s="158" t="str">
        <f t="shared" ref="K27:U28" si="4">L14</f>
        <v>.0104 B</v>
      </c>
      <c r="M27" s="158" t="str">
        <f t="shared" si="4"/>
        <v>.0140 B</v>
      </c>
      <c r="N27" s="158" t="str">
        <f t="shared" si="4"/>
        <v>.0168 B</v>
      </c>
      <c r="O27" s="158" t="str">
        <f t="shared" si="4"/>
        <v>.0223 B</v>
      </c>
      <c r="P27" s="158" t="str">
        <f t="shared" si="4"/>
        <v>.1259 B</v>
      </c>
      <c r="Q27" s="158" t="str">
        <f t="shared" si="4"/>
        <v>.0280 B</v>
      </c>
      <c r="R27" s="158" t="str">
        <f t="shared" si="4"/>
        <v>.0159 B</v>
      </c>
      <c r="S27" s="158" t="str">
        <f t="shared" si="4"/>
        <v>-.0056 B</v>
      </c>
      <c r="T27" s="158" t="str">
        <f t="shared" si="4"/>
        <v>-.0188 B</v>
      </c>
      <c r="U27" s="158" t="str">
        <f t="shared" si="4"/>
        <v>-.0274 B</v>
      </c>
      <c r="V27" s="42"/>
      <c r="W27" s="8" t="s">
        <v>7</v>
      </c>
    </row>
    <row r="28" spans="1:35" ht="15" customHeight="1" x14ac:dyDescent="0.25">
      <c r="A28" s="24" t="str">
        <f>RTD("cqg.rtd",,"ContractData","RBES1?1", "Symbol")</f>
        <v>RBES1J5</v>
      </c>
      <c r="B28" s="23" t="str">
        <f>RIGHT(RTD("cqg.rtd",,"ContractData",A28, "LongDescription"),15)</f>
        <v xml:space="preserve"> Apr 15, May 15</v>
      </c>
      <c r="C28" s="150">
        <f>RTD("cqg.rtd", ,"ContractData",A28, "Open",,"T")</f>
        <v>3.3E-3</v>
      </c>
      <c r="D28" s="150">
        <f>RTD("cqg.rtd", ,"ContractData",A28, "High",,"T")</f>
        <v>4.5000000000000005E-3</v>
      </c>
      <c r="E28" s="150">
        <f>RTD("cqg.rtd", ,"ContractData",A28, "Low",,"T")</f>
        <v>-3.5000000000000001E-3</v>
      </c>
      <c r="F28" s="150">
        <f>RTD("cqg.rtd", ,"ContractData",A28, "LastTradeorSettle",,"T")</f>
        <v>-3.5000000000000001E-3</v>
      </c>
      <c r="G28" s="151">
        <f>RTD("cqg.rtd",,"ContractData",A28,"NetLastTradeToday",,"T")</f>
        <v>-7.3000000000000001E-3</v>
      </c>
      <c r="H28" s="19">
        <f>RTD("cqg.rtd",,"ContractData",A28,"NetLastTradeToday",,"T")</f>
        <v>-7.3000000000000001E-3</v>
      </c>
      <c r="I28" s="27">
        <f>RTD("cqg.rtd", ,"ContractData",A28, "T_CVol")</f>
        <v>11827</v>
      </c>
      <c r="J28" s="117"/>
      <c r="K28" s="159" t="str">
        <f t="shared" si="4"/>
        <v>-.0035 L</v>
      </c>
      <c r="L28" s="159" t="str">
        <f t="shared" si="4"/>
        <v>.0105 L</v>
      </c>
      <c r="M28" s="159" t="str">
        <f t="shared" si="4"/>
        <v>.0140 L</v>
      </c>
      <c r="N28" s="159" t="str">
        <f t="shared" si="4"/>
        <v>.0169 L</v>
      </c>
      <c r="O28" s="159" t="str">
        <f t="shared" si="4"/>
        <v>.0224 L</v>
      </c>
      <c r="P28" s="159" t="str">
        <f t="shared" si="4"/>
        <v>.1259 L</v>
      </c>
      <c r="Q28" s="159" t="str">
        <f t="shared" si="4"/>
        <v>.0283 L</v>
      </c>
      <c r="R28" s="159" t="str">
        <f t="shared" si="4"/>
        <v>.0162 L</v>
      </c>
      <c r="S28" s="159" t="str">
        <f t="shared" si="4"/>
        <v>-.0051 L</v>
      </c>
      <c r="T28" s="159" t="str">
        <f t="shared" si="4"/>
        <v>-.0174 L</v>
      </c>
      <c r="U28" s="159" t="str">
        <f t="shared" si="4"/>
        <v xml:space="preserve"> L</v>
      </c>
      <c r="V28" s="42"/>
    </row>
    <row r="29" spans="1:35" ht="15" customHeight="1" x14ac:dyDescent="0.25">
      <c r="A29" s="24" t="str">
        <f>RTD("cqg.rtd",,"ContractData","RBES1?2", "Symbol")</f>
        <v>RBES1K5</v>
      </c>
      <c r="B29" s="23" t="str">
        <f>RIGHT(RTD("cqg.rtd",,"ContractData",A29, "LongDescription"),15)</f>
        <v xml:space="preserve"> May 15, Jun 15</v>
      </c>
      <c r="C29" s="150">
        <f>RTD("cqg.rtd", ,"ContractData",A29, "Open",,"T")</f>
        <v>1.6800000000000002E-2</v>
      </c>
      <c r="D29" s="150">
        <f>RTD("cqg.rtd", ,"ContractData",A29, "High",,"T")</f>
        <v>1.7400000000000002E-2</v>
      </c>
      <c r="E29" s="150">
        <f>RTD("cqg.rtd", ,"ContractData",A29, "Low",,"T")</f>
        <v>1.03E-2</v>
      </c>
      <c r="F29" s="150">
        <f>RTD("cqg.rtd", ,"ContractData",A29, "LastTradeorSettle",,"T")</f>
        <v>1.0500000000000001E-2</v>
      </c>
      <c r="G29" s="151">
        <f>RTD("cqg.rtd",,"ContractData",A29,"NetLastTradeToday",,"T")</f>
        <v>-6.5000000000000006E-3</v>
      </c>
      <c r="H29" s="19">
        <f>RTD("cqg.rtd",,"ContractData",A29,"NetLastTradeToday",,"T")</f>
        <v>-6.5000000000000006E-3</v>
      </c>
      <c r="I29" s="27">
        <f>RTD("cqg.rtd", ,"ContractData",A29, "T_CVol")</f>
        <v>7711</v>
      </c>
      <c r="J29" s="59"/>
      <c r="K29" s="60"/>
      <c r="L29" s="60"/>
      <c r="M29" s="60"/>
      <c r="N29" s="60"/>
      <c r="O29" s="60"/>
      <c r="P29" s="60"/>
      <c r="Q29" s="61"/>
      <c r="R29" s="62"/>
      <c r="S29" s="62"/>
      <c r="T29" s="62"/>
      <c r="U29" s="63"/>
      <c r="V29" s="42"/>
    </row>
    <row r="30" spans="1:35" ht="15" customHeight="1" x14ac:dyDescent="0.25">
      <c r="A30" s="24" t="str">
        <f>RTD("cqg.rtd",,"ContractData","RBES1?3", "Symbol")</f>
        <v>RBES1M5</v>
      </c>
      <c r="B30" s="23" t="str">
        <f>RIGHT(RTD("cqg.rtd",,"ContractData",A30, "LongDescription"),15)</f>
        <v xml:space="preserve"> Jun 15, Jul 15</v>
      </c>
      <c r="C30" s="150">
        <f>RTD("cqg.rtd", ,"ContractData",A30, "Open",,"T")</f>
        <v>1.78E-2</v>
      </c>
      <c r="D30" s="150">
        <f>RTD("cqg.rtd", ,"ContractData",A30, "High",,"T")</f>
        <v>1.84E-2</v>
      </c>
      <c r="E30" s="150">
        <f>RTD("cqg.rtd", ,"ContractData",A30, "Low",,"T")</f>
        <v>1.4E-2</v>
      </c>
      <c r="F30" s="150">
        <f>RTD("cqg.rtd", ,"ContractData",A30, "LastTradeorSettle",,"T")</f>
        <v>1.4E-2</v>
      </c>
      <c r="G30" s="151">
        <f>RTD("cqg.rtd",,"ContractData",A30,"NetLastTradeToday",,"T")</f>
        <v>-3.5000000000000001E-3</v>
      </c>
      <c r="H30" s="19">
        <f>RTD("cqg.rtd",,"ContractData",A30,"NetLastTradeToday",,"T")</f>
        <v>-3.5000000000000001E-3</v>
      </c>
      <c r="I30" s="27">
        <f>RTD("cqg.rtd", ,"ContractData",A30, "T_CVol")</f>
        <v>4139</v>
      </c>
      <c r="J30" s="64"/>
      <c r="K30" s="5"/>
      <c r="L30" s="5"/>
      <c r="M30" s="5"/>
      <c r="N30" s="5"/>
      <c r="O30" s="5"/>
      <c r="P30" s="5"/>
      <c r="Q30" s="65"/>
      <c r="R30" s="42"/>
      <c r="S30" s="42"/>
      <c r="T30" s="42"/>
      <c r="U30" s="66"/>
      <c r="V30" s="42"/>
    </row>
    <row r="31" spans="1:35" ht="15" customHeight="1" x14ac:dyDescent="0.25">
      <c r="A31" s="24" t="str">
        <f>RTD("cqg.rtd",,"ContractData","RBES1?4", "Symbol")</f>
        <v>RBES1N5</v>
      </c>
      <c r="B31" s="23" t="str">
        <f>RIGHT(RTD("cqg.rtd",,"ContractData",A31, "LongDescription"),15)</f>
        <v xml:space="preserve"> Jul 15, Aug 15</v>
      </c>
      <c r="C31" s="150">
        <f>RTD("cqg.rtd", ,"ContractData",A31, "Open",,"T")</f>
        <v>1.7600000000000001E-2</v>
      </c>
      <c r="D31" s="150">
        <f>RTD("cqg.rtd", ,"ContractData",A31, "High",,"T")</f>
        <v>1.8700000000000001E-2</v>
      </c>
      <c r="E31" s="150">
        <f>RTD("cqg.rtd", ,"ContractData",A31, "Low",,"T")</f>
        <v>1.6800000000000002E-2</v>
      </c>
      <c r="F31" s="150">
        <f>RTD("cqg.rtd", ,"ContractData",A31, "LastTradeorSettle",,"T")</f>
        <v>1.6900000000000002E-2</v>
      </c>
      <c r="G31" s="151">
        <f>RTD("cqg.rtd",,"ContractData",A31,"NetLastTradeToday",,"T")</f>
        <v>-1.5E-3</v>
      </c>
      <c r="H31" s="19">
        <f>RTD("cqg.rtd",,"ContractData",A31,"NetLastTradeToday",,"T")</f>
        <v>-1.5E-3</v>
      </c>
      <c r="I31" s="27">
        <f>RTD("cqg.rtd", ,"ContractData",A31, "T_CVol")</f>
        <v>1896</v>
      </c>
      <c r="J31" s="64"/>
      <c r="K31" s="5"/>
      <c r="L31" s="5"/>
      <c r="M31" s="5"/>
      <c r="N31" s="5"/>
      <c r="O31" s="5"/>
      <c r="P31" s="5"/>
      <c r="Q31" s="65"/>
      <c r="R31" s="42"/>
      <c r="S31" s="42"/>
      <c r="T31" s="42"/>
      <c r="U31" s="66"/>
      <c r="V31" s="42"/>
    </row>
    <row r="32" spans="1:35" ht="15" customHeight="1" x14ac:dyDescent="0.25">
      <c r="A32" s="24" t="str">
        <f>RTD("cqg.rtd",,"ContractData","RBES1?5", "Symbol")</f>
        <v>RBES1Q5</v>
      </c>
      <c r="B32" s="23" t="str">
        <f>RIGHT(RTD("cqg.rtd",,"ContractData",A32, "LongDescription"),15)</f>
        <v xml:space="preserve"> Aug 15, Sep 15</v>
      </c>
      <c r="C32" s="150">
        <f>RTD("cqg.rtd", ,"ContractData",A32, "Open",,"T")</f>
        <v>2.3599999999999999E-2</v>
      </c>
      <c r="D32" s="150">
        <f>RTD("cqg.rtd", ,"ContractData",A32, "High",,"T")</f>
        <v>2.3599999999999999E-2</v>
      </c>
      <c r="E32" s="150">
        <f>RTD("cqg.rtd", ,"ContractData",A32, "Low",,"T")</f>
        <v>2.18E-2</v>
      </c>
      <c r="F32" s="150">
        <f>RTD("cqg.rtd", ,"ContractData",A32, "LastTradeorSettle",,"T")</f>
        <v>2.24E-2</v>
      </c>
      <c r="G32" s="151">
        <f>RTD("cqg.rtd",,"ContractData",A32,"NetLastTradeToday",,"T")</f>
        <v>-1.1000000000000001E-3</v>
      </c>
      <c r="H32" s="19">
        <f>RTD("cqg.rtd",,"ContractData",A32,"NetLastTradeToday",,"T")</f>
        <v>-1.1000000000000001E-3</v>
      </c>
      <c r="I32" s="27">
        <f>RTD("cqg.rtd", ,"ContractData",A32, "T_CVol")</f>
        <v>1575</v>
      </c>
      <c r="J32" s="64"/>
      <c r="K32" s="5"/>
      <c r="L32" s="5"/>
      <c r="M32" s="5"/>
      <c r="N32" s="5"/>
      <c r="O32" s="5"/>
      <c r="P32" s="5"/>
      <c r="Q32" s="65"/>
      <c r="R32" s="42"/>
      <c r="S32" s="42"/>
      <c r="T32" s="42"/>
      <c r="U32" s="66"/>
      <c r="V32" s="42"/>
    </row>
    <row r="33" spans="1:34" s="7" customFormat="1" ht="15" customHeight="1" x14ac:dyDescent="0.25">
      <c r="A33" s="24" t="str">
        <f>RTD("cqg.rtd",,"ContractData","RBES1?6", "Symbol")</f>
        <v>RBES1U5</v>
      </c>
      <c r="B33" s="26" t="str">
        <f>RIGHT(RTD("cqg.rtd",,"ContractData",A33, "LongDescription"),15)</f>
        <v xml:space="preserve"> Sep 15, Oct 15</v>
      </c>
      <c r="C33" s="152">
        <f>RTD("cqg.rtd", ,"ContractData",A33, "Open",,"T")</f>
        <v>0.1285</v>
      </c>
      <c r="D33" s="152">
        <f>RTD("cqg.rtd", ,"ContractData",A33, "High",,"T")</f>
        <v>0.1293</v>
      </c>
      <c r="E33" s="152">
        <f>RTD("cqg.rtd", ,"ContractData",A33, "Low",,"T")</f>
        <v>0.1258</v>
      </c>
      <c r="F33" s="152">
        <f>RTD("cqg.rtd", ,"ContractData",A33, "LastTradeorSettle",,"T")</f>
        <v>0.12590000000000001</v>
      </c>
      <c r="G33" s="151">
        <f>RTD("cqg.rtd",,"ContractData",A33,"NetLastTradeToday",,"T")</f>
        <v>-2.9000000000000002E-3</v>
      </c>
      <c r="H33" s="20">
        <f>RTD("cqg.rtd",,"ContractData",A33,"NetLastTradeToday",,"T")</f>
        <v>-2.9000000000000002E-3</v>
      </c>
      <c r="I33" s="29">
        <f>RTD("cqg.rtd", ,"ContractData",A33, "T_CVol")</f>
        <v>725</v>
      </c>
      <c r="J33" s="64"/>
      <c r="K33" s="5"/>
      <c r="L33" s="5"/>
      <c r="M33" s="5"/>
      <c r="N33" s="5"/>
      <c r="O33" s="5"/>
      <c r="P33" s="5"/>
      <c r="Q33" s="65"/>
      <c r="R33" s="42"/>
      <c r="S33" s="42"/>
      <c r="T33" s="42"/>
      <c r="U33" s="66"/>
      <c r="V33" s="42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</row>
    <row r="34" spans="1:34" ht="15" customHeight="1" x14ac:dyDescent="0.25">
      <c r="A34" s="24" t="str">
        <f>RTD("cqg.rtd",,"ContractData","RBES1?7", "Symbol")</f>
        <v>RBES1V5</v>
      </c>
      <c r="B34" s="26" t="str">
        <f>RIGHT(RTD("cqg.rtd",,"ContractData",A34, "LongDescription"),15)</f>
        <v xml:space="preserve"> Oct 15, Nov 15</v>
      </c>
      <c r="C34" s="152">
        <f>RTD("cqg.rtd", ,"ContractData",A34, "Open",,"T")</f>
        <v>2.92E-2</v>
      </c>
      <c r="D34" s="152">
        <f>RTD("cqg.rtd", ,"ContractData",A34, "High",,"T")</f>
        <v>3.0000000000000002E-2</v>
      </c>
      <c r="E34" s="152">
        <f>RTD("cqg.rtd", ,"ContractData",A34, "Low",,"T")</f>
        <v>2.7900000000000001E-2</v>
      </c>
      <c r="F34" s="152">
        <f>RTD("cqg.rtd", ,"ContractData",A34, "LastTradeorSettle",,"T")</f>
        <v>2.8300000000000002E-2</v>
      </c>
      <c r="G34" s="153">
        <f>RTD("cqg.rtd",,"ContractData",A34,"NetLastTradeToday",,"T")</f>
        <v>-1.3000000000000002E-3</v>
      </c>
      <c r="H34" s="20">
        <f>RTD("cqg.rtd",,"ContractData",A34,"NetLastTradeToday",,"T")</f>
        <v>-1.3000000000000002E-3</v>
      </c>
      <c r="I34" s="29">
        <f>RTD("cqg.rtd", ,"ContractData",A34, "T_CVol")</f>
        <v>320</v>
      </c>
      <c r="J34" s="67"/>
      <c r="K34" s="4"/>
      <c r="L34" s="4"/>
      <c r="M34" s="4"/>
      <c r="N34" s="4"/>
      <c r="O34" s="4"/>
      <c r="P34" s="4"/>
      <c r="Q34" s="68"/>
      <c r="R34" s="42"/>
      <c r="S34" s="42"/>
      <c r="T34" s="42"/>
      <c r="U34" s="66"/>
      <c r="V34" s="42"/>
    </row>
    <row r="35" spans="1:34" ht="15" customHeight="1" x14ac:dyDescent="0.25">
      <c r="A35" s="24" t="str">
        <f>RTD("cqg.rtd",,"ContractData","RBES1?8", "Symbol")</f>
        <v>RBES1X5</v>
      </c>
      <c r="B35" s="26" t="str">
        <f>RIGHT(RTD("cqg.rtd",,"ContractData",A35, "LongDescription"),15)</f>
        <v xml:space="preserve"> Nov 15, Dec 15</v>
      </c>
      <c r="C35" s="152">
        <f>RTD("cqg.rtd", ,"ContractData",A35, "Open",,"T")</f>
        <v>1.66E-2</v>
      </c>
      <c r="D35" s="152">
        <f>RTD("cqg.rtd", ,"ContractData",A35, "High",,"T")</f>
        <v>1.7000000000000001E-2</v>
      </c>
      <c r="E35" s="152">
        <f>RTD("cqg.rtd", ,"ContractData",A35, "Low",,"T")</f>
        <v>1.5000000000000001E-2</v>
      </c>
      <c r="F35" s="152">
        <f>RTD("cqg.rtd", ,"ContractData",A35, "LastTradeorSettle",,"T")</f>
        <v>1.6199999999999999E-2</v>
      </c>
      <c r="G35" s="151">
        <f>RTD("cqg.rtd",,"ContractData",A35,"NetLastTradeToday",,"T")</f>
        <v>-3.0000000000000003E-4</v>
      </c>
      <c r="H35" s="20">
        <f>RTD("cqg.rtd",,"ContractData",A35,"NetLastTradeToday",,"T")</f>
        <v>-3.0000000000000003E-4</v>
      </c>
      <c r="I35" s="29">
        <f>RTD("cqg.rtd", ,"ContractData",A35, "T_CVol")</f>
        <v>318</v>
      </c>
      <c r="J35" s="64"/>
      <c r="K35" s="5"/>
      <c r="L35" s="5"/>
      <c r="M35" s="5"/>
      <c r="N35" s="5"/>
      <c r="O35" s="5"/>
      <c r="P35" s="5"/>
      <c r="Q35" s="65"/>
      <c r="R35" s="42"/>
      <c r="S35" s="42"/>
      <c r="T35" s="42"/>
      <c r="U35" s="66"/>
      <c r="V35" s="42"/>
    </row>
    <row r="36" spans="1:34" ht="15" customHeight="1" x14ac:dyDescent="0.25">
      <c r="A36" s="24" t="str">
        <f>RTD("cqg.rtd",,"ContractData","RBES1?9", "Symbol")</f>
        <v>RBES1Z5</v>
      </c>
      <c r="B36" s="26" t="str">
        <f>RIGHT(RTD("cqg.rtd",,"ContractData",A36, "LongDescription"),15)</f>
        <v xml:space="preserve"> Dec 15, Jan 16</v>
      </c>
      <c r="C36" s="152">
        <f>RTD("cqg.rtd", ,"ContractData",A36, "Open",,"T")</f>
        <v>-5.1000000000000004E-3</v>
      </c>
      <c r="D36" s="152">
        <f>RTD("cqg.rtd", ,"ContractData",A36, "High",,"T")</f>
        <v>-5.0000000000000001E-3</v>
      </c>
      <c r="E36" s="152">
        <f>RTD("cqg.rtd", ,"ContractData",A36, "Low",,"T")</f>
        <v>-6.8000000000000005E-3</v>
      </c>
      <c r="F36" s="152">
        <f>RTD("cqg.rtd", ,"ContractData",A36, "LastTradeorSettle",,"T")</f>
        <v>-5.1000000000000004E-3</v>
      </c>
      <c r="G36" s="153">
        <f>RTD("cqg.rtd",,"ContractData",A36,"NetLastTradeToday",,"T")</f>
        <v>0</v>
      </c>
      <c r="H36" s="20">
        <f>RTD("cqg.rtd",,"ContractData",A36,"NetLastTradeToday",,"T")</f>
        <v>0</v>
      </c>
      <c r="I36" s="29">
        <f>RTD("cqg.rtd", ,"ContractData",A36, "T_CVol")</f>
        <v>28</v>
      </c>
      <c r="J36" s="64"/>
      <c r="K36" s="5"/>
      <c r="L36" s="5"/>
      <c r="M36" s="5"/>
      <c r="N36" s="5"/>
      <c r="O36" s="5"/>
      <c r="P36" s="5"/>
      <c r="Q36" s="65"/>
      <c r="R36" s="42"/>
      <c r="S36" s="42"/>
      <c r="T36" s="42"/>
      <c r="U36" s="66"/>
      <c r="V36" s="42"/>
    </row>
    <row r="37" spans="1:34" ht="15" customHeight="1" x14ac:dyDescent="0.25">
      <c r="A37" s="24" t="str">
        <f>RTD("cqg.rtd",,"ContractData","RBES1?10", "Symbol")</f>
        <v>RBES1F6</v>
      </c>
      <c r="B37" s="26" t="str">
        <f>RIGHT(RTD("cqg.rtd",,"ContractData",A37, "LongDescription"),15)</f>
        <v xml:space="preserve"> Jan 16, Feb 16</v>
      </c>
      <c r="C37" s="152">
        <f>RTD("cqg.rtd", ,"ContractData",A37, "Open",,"T")</f>
        <v>-1.7400000000000002E-2</v>
      </c>
      <c r="D37" s="152">
        <f>RTD("cqg.rtd", ,"ContractData",A37, "High",,"T")</f>
        <v>-1.7400000000000002E-2</v>
      </c>
      <c r="E37" s="152">
        <f>RTD("cqg.rtd", ,"ContractData",A37, "Low",,"T")</f>
        <v>-1.7400000000000002E-2</v>
      </c>
      <c r="F37" s="152">
        <f>RTD("cqg.rtd", ,"ContractData",A37, "LastTradeorSettle",,"T")</f>
        <v>-1.7400000000000002E-2</v>
      </c>
      <c r="G37" s="153">
        <f>RTD("cqg.rtd",,"ContractData",A37,"NetLastTradeToday",,"T")</f>
        <v>-1E-4</v>
      </c>
      <c r="H37" s="20">
        <f>RTD("cqg.rtd",,"ContractData",A37,"NetLastTradeToday",,"T")</f>
        <v>-1E-4</v>
      </c>
      <c r="I37" s="29">
        <f>RTD("cqg.rtd", ,"ContractData",A37, "T_CVol")</f>
        <v>1</v>
      </c>
      <c r="J37" s="64"/>
      <c r="K37" s="5"/>
      <c r="L37" s="5"/>
      <c r="M37" s="5"/>
      <c r="N37" s="5"/>
      <c r="O37" s="5"/>
      <c r="P37" s="5"/>
      <c r="Q37" s="65"/>
      <c r="R37" s="42"/>
      <c r="S37" s="42"/>
      <c r="T37" s="42"/>
      <c r="U37" s="66"/>
      <c r="V37" s="42"/>
    </row>
    <row r="38" spans="1:34" s="7" customFormat="1" ht="15" customHeight="1" x14ac:dyDescent="0.25">
      <c r="A38" s="24" t="str">
        <f>RTD("cqg.rtd",,"ContractData","RBES1?11", "Symbol")</f>
        <v>RBES1G6</v>
      </c>
      <c r="B38" s="26" t="str">
        <f>RIGHT(RTD("cqg.rtd",,"ContractData",A38, "LongDescription"),15)</f>
        <v xml:space="preserve"> Feb 16, Mar 16</v>
      </c>
      <c r="C38" s="152" t="str">
        <f>RTD("cqg.rtd", ,"ContractData",A38, "Open",,"T")</f>
        <v/>
      </c>
      <c r="D38" s="152" t="str">
        <f>RTD("cqg.rtd", ,"ContractData",A38, "High",,"T")</f>
        <v/>
      </c>
      <c r="E38" s="152" t="str">
        <f>RTD("cqg.rtd", ,"ContractData",A38, "Low",,"T")</f>
        <v/>
      </c>
      <c r="F38" s="152" t="str">
        <f>RTD("cqg.rtd", ,"ContractData",A38, "LastTradeorSettle",,"T")</f>
        <v/>
      </c>
      <c r="G38" s="153" t="str">
        <f>RTD("cqg.rtd",,"ContractData",A38,"NetLastTradeToday",,"T")</f>
        <v/>
      </c>
      <c r="H38" s="20" t="str">
        <f>RTD("cqg.rtd",,"ContractData",A38,"NetLastTradeToday",,"T")</f>
        <v/>
      </c>
      <c r="I38" s="29">
        <f>RTD("cqg.rtd", ,"ContractData",A38, "T_CVol")</f>
        <v>0</v>
      </c>
      <c r="J38" s="64"/>
      <c r="K38" s="5"/>
      <c r="L38" s="5"/>
      <c r="M38" s="5"/>
      <c r="N38" s="5"/>
      <c r="O38" s="5"/>
      <c r="P38" s="5"/>
      <c r="Q38" s="65"/>
      <c r="R38" s="42"/>
      <c r="S38" s="42"/>
      <c r="T38" s="42"/>
      <c r="U38" s="66"/>
      <c r="V38" s="42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</row>
    <row r="39" spans="1:34" s="7" customFormat="1" ht="15" customHeight="1" x14ac:dyDescent="0.25">
      <c r="A39" s="24" t="str">
        <f>RTD("cqg.rtd",,"ContractData","RBES1?12", "Symbol")</f>
        <v>RBES1H6</v>
      </c>
      <c r="B39" s="26" t="str">
        <f>RIGHT(RTD("cqg.rtd",,"ContractData",A39, "LongDescription"),15)</f>
        <v xml:space="preserve"> Mar 16, Apr 16</v>
      </c>
      <c r="C39" s="152">
        <f>RTD("cqg.rtd", ,"ContractData",A39, "Open",,"T")</f>
        <v>-0.2</v>
      </c>
      <c r="D39" s="152">
        <f>RTD("cqg.rtd", ,"ContractData",A39, "High",,"T")</f>
        <v>-0.2</v>
      </c>
      <c r="E39" s="152">
        <f>RTD("cqg.rtd", ,"ContractData",A39, "Low",,"T")</f>
        <v>-0.2</v>
      </c>
      <c r="F39" s="152">
        <f>RTD("cqg.rtd", ,"ContractData",A39, "LastTradeorSettle",,"T")</f>
        <v>-0.2</v>
      </c>
      <c r="G39" s="153">
        <f>RTD("cqg.rtd",,"ContractData",A39,"NetLastTradeToday",,"T")</f>
        <v>-1.5E-3</v>
      </c>
      <c r="H39" s="20">
        <f>RTD("cqg.rtd",,"ContractData",A39,"NetLastTradeToday",,"T")</f>
        <v>-1.5E-3</v>
      </c>
      <c r="I39" s="29">
        <f>RTD("cqg.rtd", ,"ContractData",A39, "T_CVol")</f>
        <v>6</v>
      </c>
      <c r="J39" s="64"/>
      <c r="K39" s="5"/>
      <c r="L39" s="5"/>
      <c r="M39" s="5"/>
      <c r="N39" s="5"/>
      <c r="O39" s="5"/>
      <c r="P39" s="5"/>
      <c r="Q39" s="65"/>
      <c r="R39" s="42"/>
      <c r="S39" s="42"/>
      <c r="T39" s="42"/>
      <c r="U39" s="66"/>
      <c r="V39" s="42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</row>
    <row r="40" spans="1:34" s="7" customFormat="1" ht="15" customHeight="1" x14ac:dyDescent="0.25">
      <c r="A40" s="24"/>
      <c r="B40" s="127"/>
      <c r="C40" s="128"/>
      <c r="D40" s="81"/>
      <c r="E40" s="79"/>
      <c r="F40" s="82"/>
      <c r="G40" s="79"/>
      <c r="H40" s="83"/>
      <c r="I40" s="80"/>
      <c r="J40" s="69"/>
      <c r="K40" s="70"/>
      <c r="L40" s="70"/>
      <c r="M40" s="70"/>
      <c r="N40" s="70"/>
      <c r="O40" s="70"/>
      <c r="P40" s="70"/>
      <c r="Q40" s="71"/>
      <c r="R40" s="43"/>
      <c r="S40" s="43"/>
      <c r="T40" s="43"/>
      <c r="U40" s="72"/>
      <c r="V40" s="42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</row>
    <row r="41" spans="1:34" ht="15" customHeight="1" x14ac:dyDescent="0.25">
      <c r="B41" s="110" t="s">
        <v>20</v>
      </c>
      <c r="C41" s="111"/>
      <c r="D41" s="111"/>
      <c r="E41" s="111"/>
      <c r="F41" s="111"/>
      <c r="G41" s="111"/>
      <c r="H41" s="111"/>
      <c r="I41" s="112"/>
      <c r="J41" s="56" t="s">
        <v>8</v>
      </c>
      <c r="K41" s="57" t="str">
        <f t="shared" ref="K41:T41" si="5">J7&amp;", "&amp;K7&amp;", "&amp;L7</f>
        <v>APR, MAY, JUN</v>
      </c>
      <c r="L41" s="57" t="str">
        <f t="shared" si="5"/>
        <v>MAY, JUN, JUL</v>
      </c>
      <c r="M41" s="57" t="str">
        <f t="shared" si="5"/>
        <v>JUN, JUL, AUG</v>
      </c>
      <c r="N41" s="57" t="str">
        <f t="shared" si="5"/>
        <v>JUL, AUG, SEP</v>
      </c>
      <c r="O41" s="57" t="str">
        <f t="shared" si="5"/>
        <v>AUG, SEP, OCT</v>
      </c>
      <c r="P41" s="57" t="str">
        <f t="shared" si="5"/>
        <v>SEP, OCT, NOV</v>
      </c>
      <c r="Q41" s="57" t="str">
        <f t="shared" si="5"/>
        <v>OCT, NOV, DEC</v>
      </c>
      <c r="R41" s="57" t="str">
        <f t="shared" si="5"/>
        <v>NOV, DEC, JAN</v>
      </c>
      <c r="S41" s="57" t="str">
        <f t="shared" si="5"/>
        <v>DEC, JAN, FEB</v>
      </c>
      <c r="T41" s="57" t="str">
        <f t="shared" si="5"/>
        <v>JAN, FEB, MAR</v>
      </c>
      <c r="U41" s="58"/>
      <c r="V41" s="42"/>
    </row>
    <row r="42" spans="1:34" ht="15" customHeight="1" x14ac:dyDescent="0.25">
      <c r="B42" s="113"/>
      <c r="C42" s="114"/>
      <c r="D42" s="114"/>
      <c r="E42" s="114"/>
      <c r="F42" s="114"/>
      <c r="G42" s="114"/>
      <c r="H42" s="114"/>
      <c r="I42" s="115"/>
      <c r="J42" s="116"/>
      <c r="K42" s="13" t="str">
        <f>TEXT(RTD("cqg.rtd",,"ContractData","SPREAD(RBES1?1-RBES1?2)","Ask",,"T"),"#.0000")&amp;" "&amp;"A"</f>
        <v>-.0138 A</v>
      </c>
      <c r="L42" s="13" t="str">
        <f>TEXT(RTD("cqg.rtd",,"ContractData","SPREAD(RBES1?2-RBES1?3)","Ask",,"T"),"#.0000")&amp;" "&amp;"A"</f>
        <v>-.0035 A</v>
      </c>
      <c r="M42" s="13" t="str">
        <f>TEXT(RTD("cqg.rtd",,"ContractData","SPREAD(RBES1?3-RBES1?4)","Ask",,"T"),"#.0000")&amp;" "&amp;"A"</f>
        <v>-.0027 A</v>
      </c>
      <c r="N42" s="13" t="str">
        <f>TEXT(RTD("cqg.rtd",,"ContractData","SPREAD(RBES1?4-RBES1?5)","Ask",,"T"),"#.0000")&amp;" "&amp;"A"</f>
        <v>-.0054 A</v>
      </c>
      <c r="O42" s="13" t="str">
        <f>TEXT(RTD("cqg.rtd",,"ContractData","SPREAD(RBES1?5-RBES1?6)","Ask",,"T"),"#.0000")&amp;" "&amp;"A"</f>
        <v>-.1035 A</v>
      </c>
      <c r="P42" s="13" t="str">
        <f>TEXT(RTD("cqg.rtd",,"ContractData","SPREAD(RBES1?6-RBES1?7)","Ask",,"T"),"#.0000")&amp;" "&amp;"A"</f>
        <v>.0980 A</v>
      </c>
      <c r="Q42" s="13" t="str">
        <f>TEXT(RTD("cqg.rtd",,"ContractData","SPREAD(RBES1?7-RBES1?8)","Ask",,"T"),"#.0000")&amp;" "&amp;"A"</f>
        <v>.0124 A</v>
      </c>
      <c r="R42" s="13" t="str">
        <f>TEXT(RTD("cqg.rtd",,"ContractData","SPREAD(RBES1?8-RBES1?9)","Ask",,"T"),"#.0000")&amp;" "&amp;"A"</f>
        <v>.0218 A</v>
      </c>
      <c r="S42" s="13" t="str">
        <f>TEXT(RTD("cqg.rtd",,"ContractData","SPREAD(RBES1?9-RBES1?10)","Ask",,"T"),"#.0000")&amp;" "&amp;"A"</f>
        <v>.0138 A</v>
      </c>
      <c r="T42" s="13" t="str">
        <f>TEXT(RTD("cqg.rtd",,"ContractData","SPREAD(RBES1?10-RBES1?11)","Ask",,"T"),"#.0000")&amp;" "&amp;"A"</f>
        <v>.0097 A</v>
      </c>
      <c r="U42" s="44"/>
      <c r="V42" s="42"/>
    </row>
    <row r="43" spans="1:34" ht="15" customHeight="1" x14ac:dyDescent="0.25">
      <c r="B43" s="129" t="s">
        <v>19</v>
      </c>
      <c r="C43" s="130"/>
      <c r="D43" s="131"/>
      <c r="E43" s="17" t="s">
        <v>12</v>
      </c>
      <c r="F43" s="17" t="s">
        <v>13</v>
      </c>
      <c r="G43" s="17" t="s">
        <v>14</v>
      </c>
      <c r="H43" s="17" t="s">
        <v>10</v>
      </c>
      <c r="I43" s="17" t="s">
        <v>15</v>
      </c>
      <c r="J43" s="116"/>
      <c r="K43" s="13" t="str">
        <f>TEXT(RTD("cqg.rtd",,"ContractData","SPREAD(RBES1?1-RBES1?2)","Bid",,"T"),"#.0000")&amp;" "&amp;"B"</f>
        <v>-.0140 B</v>
      </c>
      <c r="L43" s="13" t="str">
        <f>TEXT(RTD("cqg.rtd",,"ContractData","SPREAD(RBES1?2-RBES1?3)","Bid",,"T"),"#.0000")&amp;" "&amp;"B"</f>
        <v>-.0037 B</v>
      </c>
      <c r="M43" s="13" t="str">
        <f>TEXT(RTD("cqg.rtd",,"ContractData","SPREAD(RBES1?3-RBES1?4)","Bid",,"T"),"#.0000")&amp;" "&amp;"B"</f>
        <v>-.0029 B</v>
      </c>
      <c r="N43" s="13" t="str">
        <f>TEXT(RTD("cqg.rtd",,"ContractData","SPREAD(RBES1?4-RBES1?5)","Bid",,"T"),"#.0000")&amp;" "&amp;"B"</f>
        <v>-.0056 B</v>
      </c>
      <c r="O43" s="13" t="str">
        <f>TEXT(RTD("cqg.rtd",,"ContractData","SPREAD(RBES1?5-RBES1?6)","Bid",,"T"),"#.0000")&amp;" "&amp;"B"</f>
        <v>-.1037 B</v>
      </c>
      <c r="P43" s="13" t="str">
        <f>TEXT(RTD("cqg.rtd",,"ContractData","SPREAD(RBES1?6-RBES1?7)","Bid",,"T"),"#.0000")&amp;" "&amp;"B"</f>
        <v>.0976 B</v>
      </c>
      <c r="Q43" s="13" t="str">
        <f>TEXT(RTD("cqg.rtd",,"ContractData","SPREAD(RBES1?7-RBES1?8)","Bid",,"T"),"#.0000")&amp;" "&amp;"B"</f>
        <v>.0118 B</v>
      </c>
      <c r="R43" s="13" t="str">
        <f>TEXT(RTD("cqg.rtd",,"ContractData","SPREAD(RBES1?8-RBES1?9)","Bid",,"T"),"#.0000")&amp;" "&amp;"B"</f>
        <v>.0209 B</v>
      </c>
      <c r="S43" s="13" t="str">
        <f>TEXT(RTD("cqg.rtd",,"ContractData","SPREAD(RBES1?9-RBES1?10)","Bid",,"T"),"#.0000")&amp;" "&amp;"B"</f>
        <v>.0121 B</v>
      </c>
      <c r="T43" s="13" t="str">
        <f>TEXT(RTD("cqg.rtd",,"ContractData","SPREAD(RBES1?10-RBES1?11)","Bid",,"T"),"#.0000")&amp;" "&amp;"B"</f>
        <v>.0075 B</v>
      </c>
      <c r="U43" s="44"/>
      <c r="V43" s="42"/>
      <c r="AA43" s="8">
        <f>RTD("cqg.rtd", ,"ContractData",AC43, "T_CVol")</f>
        <v>24370</v>
      </c>
      <c r="AC43" s="8" t="str">
        <f>RBE!Q2</f>
        <v>RBEJ5</v>
      </c>
      <c r="AD43" s="8" t="e">
        <f>RTD("cqg.rtd", ,"ContractData",AF43, "T_CVol")</f>
        <v>#REF!</v>
      </c>
      <c r="AF43" s="8" t="e">
        <f>#REF!</f>
        <v>#REF!</v>
      </c>
    </row>
    <row r="44" spans="1:34" ht="15" customHeight="1" x14ac:dyDescent="0.25">
      <c r="B44" s="107" t="str">
        <f>RIGHT(RTD("cqg.rtd",,"ContractData","RBES1?1","LongDescription"),15)&amp;" &amp; "&amp;RIGHT(RTD("cqg.rtd",,"ContractData","RBES1?2","LongDescription"),15)</f>
        <v xml:space="preserve"> Apr 15, May 15 &amp;  May 15, Jun 15</v>
      </c>
      <c r="C44" s="108"/>
      <c r="D44" s="109"/>
      <c r="E44" s="154">
        <f xml:space="preserve"> RTD("cqg.rtd",,"StudyData","Consolidate(RBES1?1-RBES1?2,5X,RBES1?1-RBES1?2,1,0)",  "Bar",, "Open", "D",,,,,,"T")</f>
        <v>-1.34E-2</v>
      </c>
      <c r="F44" s="155">
        <f xml:space="preserve"> RTD("cqg.rtd",,"StudyData","Consolidate(RBES1?1-RBES1?2,5X,RBES1?1-RBES1?2,1,0)",  "Bar",, "High", "D",,,,,,"T")</f>
        <v>-1.0999999999999999E-2</v>
      </c>
      <c r="G44" s="155">
        <f xml:space="preserve"> RTD("cqg.rtd",,"StudyData","Consolidate(RBES1?1-RBES1?2,5X,RBES1?1-RBES1?2,1,0)",  "Bar",, "Low", "D",,,,,,"T")</f>
        <v>-1.4E-2</v>
      </c>
      <c r="H44" s="155">
        <f xml:space="preserve"> RTD("cqg.rtd",,"StudyData","Consolidate(RBES1?1-RBES1?2,5X,RBES1?1-RBES1?2,1,0)",  "Bar",, "Close", "D",,,,,,"T")</f>
        <v>-1.29E-2</v>
      </c>
      <c r="I44" s="156">
        <f xml:space="preserve"> RTD("cqg.rtd",,"StudyData","Consolidate(RBES1?1-RBES1?2,5X,RBES1?1-RBES1?2,1,0)",  "Bar",, "Close", "D","0",,,,,"T")-RTD("cqg.rtd",,"StudyData","Consolidate(RBES1?1-RBES1?2,5X,RBES1?1-RBES1?2,1,0)",  "Bar",, "Close", "D","-1",,,,,"T")</f>
        <v>5.0000000000000044E-4</v>
      </c>
      <c r="J44" s="116"/>
      <c r="K44" s="13" t="str">
        <f>TEXT(RTD("cqg.rtd",,"StudyData","Consolidate(RBES1?1-RBES1?2,5X,RBES1?1-RBES1?2,1,0)",  "Bar",, "Close", "D",,,,,,"T"),"#.0000")&amp;" "&amp;"L"</f>
        <v>-.0129 L</v>
      </c>
      <c r="L44" s="13" t="str">
        <f>TEXT(RTD("cqg.rtd",,"StudyData","Consolidate(RBES1?2-RBES1?3,5X,RBES1?2-RBES1?3,1,0)",  "Bar",, "Close", "D",,,,,,"T"),"#.0000")&amp;" "&amp;"L"</f>
        <v>-.0037 L</v>
      </c>
      <c r="M44" s="13" t="str">
        <f>TEXT(RTD("cqg.rtd",,"StudyData","Consolidate(RBES1?3-RBES1?4,5X,RBES1?3-RBES1?4,1,0)",  "Bar",, "Close", "D",,,,,,"T"),"#.0000")&amp;" "&amp;"L"</f>
        <v>-.0023 L</v>
      </c>
      <c r="N44" s="13" t="str">
        <f>TEXT(RTD("cqg.rtd",,"StudyData","Consolidate(RBES1?4-RBES1?5,5X,RBES1?4-RBES1?5,1,0)",  "Bar",, "Close", "D",,,,,,"T"),"#.0000")&amp;" "&amp;"L"</f>
        <v>-.0054 L</v>
      </c>
      <c r="O44" s="13" t="str">
        <f>TEXT(RTD("cqg.rtd",,"StudyData","Consolidate(RBES1?5-RBES1?6,5X,RBES1?5-RBES1?6,1,0)",  "Bar",, "Close", "D",,,,,,"T"),"#.0000")&amp;" "&amp;"L"</f>
        <v>-.1037 L</v>
      </c>
      <c r="P44" s="13" t="str">
        <f>TEXT(RTD("cqg.rtd",,"StudyData","Consolidate(RBES1?6-RBES1?7,5X,RBES1?6-RBES1?7,1,0)",  "Bar",, "Close", "D",,,,,,"T"),"#.0000")&amp;" "&amp;"L"</f>
        <v>.0978 L</v>
      </c>
      <c r="Q44" s="13" t="str">
        <f>TEXT(RTD("cqg.rtd",,"StudyData","Consolidate(RBES1?6-RBES1?7,5X,RBES1?6-RBES1?7,1,0)",  "Bar",, "Close", "D",,,,,,"T"),"#.0000")&amp;" "&amp;"L"</f>
        <v>.0978 L</v>
      </c>
      <c r="R44" s="13" t="str">
        <f>TEXT(RTD("cqg.rtd",,"StudyData","Consolidate(RBES1?8-RBES1?9,5X,RBES1?8-RBES1?9,1,0)",  "Bar",, "Close", "D",,,,,,"T"),"#.0000")&amp;" "&amp;"L"</f>
        <v>.0215 L</v>
      </c>
      <c r="S44" s="13" t="str">
        <f>TEXT(RTD("cqg.rtd",,"StudyData","Consolidate(RBES1?9-RBES1?10,5X,RBES1?9-RBES1?10,1,0)",  "Bar",, "Close", "D",,,,,,"T"),"#.0000")&amp;" "&amp;"L"</f>
        <v>.0119 L</v>
      </c>
      <c r="T44" s="13" t="str">
        <f>TEXT(RTD("cqg.rtd",,"StudyData","Consolidate(RBES1?10-RBES1?11,5X,RBES1?10-RBES1?11,1,0)",  "Bar",, "Close", "D",,,,,,"T"),"#.0000")&amp;" "&amp;"L"</f>
        <v>.0086 L</v>
      </c>
      <c r="U44" s="44"/>
      <c r="V44" s="42"/>
      <c r="AA44" s="8">
        <f>RTD("cqg.rtd", ,"ContractData",AC44, "T_CVol")</f>
        <v>22344</v>
      </c>
      <c r="AC44" s="8" t="str">
        <f>RBE!Q3</f>
        <v>RBEK5</v>
      </c>
      <c r="AD44" s="8" t="e">
        <f>RTD("cqg.rtd", ,"ContractData",AF44, "T_CVol")</f>
        <v>#REF!</v>
      </c>
      <c r="AF44" s="8" t="e">
        <f>#REF!</f>
        <v>#REF!</v>
      </c>
    </row>
    <row r="45" spans="1:34" ht="15" customHeight="1" x14ac:dyDescent="0.25">
      <c r="B45" s="107" t="str">
        <f>RIGHT(RTD("cqg.rtd",,"ContractData","RBES1?2", "LongDescription"),15)&amp;" &amp; "&amp;RIGHT(RTD("cqg.rtd",,"ContractData","RBES1?3", "LongDescription"),15)</f>
        <v xml:space="preserve"> May 15, Jun 15 &amp;  Jun 15, Jul 15</v>
      </c>
      <c r="C45" s="108"/>
      <c r="D45" s="109"/>
      <c r="E45" s="154">
        <f xml:space="preserve"> RTD("cqg.rtd",,"StudyData","Consolidate(RBES1?2-RBES1?3,5X,RBES1?2-RBES3?2,1,0)",  "Bar",, "Open", "D",,,,,,"T")</f>
        <v>-1.1999999999999999E-3</v>
      </c>
      <c r="F45" s="155">
        <f xml:space="preserve"> RTD("cqg.rtd",,"StudyData","Consolidate(RBES1?2-RBES1?3,5X,RBES1?2-RBES1?3,1,0)",  "Bar",, "High", "D",,,,,,"T")</f>
        <v>-5.0000000000000001E-4</v>
      </c>
      <c r="G45" s="155">
        <f xml:space="preserve"> RTD("cqg.rtd",,"StudyData","Consolidate(RBES1?2-RBES1?3,5X,RBES1?2-RBES1?3,1,0)",  "Bar",, "Low", "D",,,,,,"T")</f>
        <v>-4.1000000000000003E-3</v>
      </c>
      <c r="H45" s="155">
        <f xml:space="preserve"> RTD("cqg.rtd",,"StudyData","Consolidate(RBES1?2-RBES1?3,5X,RBES1?2-RBES1?3,1,0)",  "Bar",, "Close", "D",,,,,,"T")</f>
        <v>-3.7000000000000002E-3</v>
      </c>
      <c r="I45" s="157">
        <f xml:space="preserve"> RTD("cqg.rtd",,"StudyData","Consolidate(RBES1?2-RBES1?3,5X,RBES1?2-RBES1?3,1,0)",  "Bar",, "Close", "D","0",,,,,"T")-RTD("cqg.rtd",,"StudyData","Consolidate(RBES1?2-RBES1?3,5X,RBES1?2-RBES1?3,1,0)",  "Bar",, "Close", "D","-1",,,,,"T")</f>
        <v>-2.5000000000000005E-3</v>
      </c>
      <c r="J45" s="46"/>
      <c r="K45" s="47"/>
      <c r="L45" s="47"/>
      <c r="M45" s="47"/>
      <c r="N45" s="47"/>
      <c r="O45" s="47"/>
      <c r="P45" s="47"/>
      <c r="Q45" s="48"/>
      <c r="R45" s="48"/>
      <c r="S45" s="48"/>
      <c r="T45" s="49"/>
      <c r="U45" s="45"/>
      <c r="V45" s="42"/>
      <c r="AA45" s="8">
        <f>RTD("cqg.rtd", ,"ContractData",AC45, "T_CVol")</f>
        <v>15994</v>
      </c>
      <c r="AC45" s="8" t="str">
        <f>RBE!Q4</f>
        <v>RBEM5</v>
      </c>
      <c r="AD45" s="8" t="e">
        <f>RTD("cqg.rtd", ,"ContractData",AF45, "T_CVol")</f>
        <v>#REF!</v>
      </c>
      <c r="AF45" s="8" t="e">
        <f>#REF!</f>
        <v>#REF!</v>
      </c>
    </row>
    <row r="46" spans="1:34" ht="15" customHeight="1" x14ac:dyDescent="0.25">
      <c r="B46" s="107" t="str">
        <f>RIGHT(RTD("cqg.rtd",,"ContractData","RBES1?3", "LongDescription"),15)&amp;" &amp; "&amp;RIGHT(RTD("cqg.rtd",,"ContractData","RBES1?4", "LongDescription"),15)</f>
        <v xml:space="preserve"> Jun 15, Jul 15 &amp;  Jul 15, Aug 15</v>
      </c>
      <c r="C46" s="108"/>
      <c r="D46" s="109"/>
      <c r="E46" s="154">
        <f xml:space="preserve"> RTD("cqg.rtd",,"StudyData","Consolidate(RBES1?3-RBES1?4,5X,RBES1?3-RBES1?4,1,0)",  "Bar",, "Open", "D",,,,,,"T")</f>
        <v>-8.9999999999999998E-4</v>
      </c>
      <c r="F46" s="155">
        <f xml:space="preserve"> RTD("cqg.rtd",,"StudyData","Consolidate(RBES1?3-RBES1?4,5X,RBES1?3-RBES1?4,1,0)",  "Bar",, "High", "D",,,,,,"T")</f>
        <v>-1E-4</v>
      </c>
      <c r="G46" s="155">
        <f xml:space="preserve"> RTD("cqg.rtd",,"StudyData","Consolidate(RBES1?3-RBES1?4,5X,RBES1?3-RBES1?4,1,0)",  "Bar",, "Low", "D",,,,,,"T")</f>
        <v>-2.3999999999999998E-3</v>
      </c>
      <c r="H46" s="155">
        <f xml:space="preserve"> RTD("cqg.rtd",,"StudyData","Consolidate(RBES1?3-RBES1?4,5X,RBES1?3-RBES3?4,1,0)",  "Bar",, "Close", "D",,,,,,"T")</f>
        <v>-2.8999999999999998E-3</v>
      </c>
      <c r="I46" s="157">
        <f xml:space="preserve"> RTD("cqg.rtd",,"StudyData","Consolidate(RBES1?3-RBES1?4,5X,RBES1?3-RBES1?4,1,0)",  "Bar",, "Close", "D","0",,,,,"T")-RTD("cqg.rtd",,"StudyData","Consolidate(RBES1?3-RBES1?4,5X,RBES1?3-RBES1?4,1,0)",  "Bar",, "Close", "D","-1",,,,,"T")</f>
        <v>-1.4E-3</v>
      </c>
      <c r="J46" s="50"/>
      <c r="K46" s="5"/>
      <c r="L46" s="5"/>
      <c r="M46" s="5"/>
      <c r="N46" s="5"/>
      <c r="O46" s="5"/>
      <c r="P46" s="5"/>
      <c r="Q46" s="42"/>
      <c r="R46" s="42"/>
      <c r="S46" s="42"/>
      <c r="T46" s="45"/>
      <c r="U46" s="45"/>
      <c r="V46" s="42"/>
      <c r="AA46" s="8">
        <f>RTD("cqg.rtd", ,"ContractData",AC46, "T_CVol")</f>
        <v>8049</v>
      </c>
      <c r="AC46" s="8" t="str">
        <f>RBE!Q5</f>
        <v>RBEN5</v>
      </c>
      <c r="AD46" s="8" t="e">
        <f>RTD("cqg.rtd", ,"ContractData",AF46, "T_CVol")</f>
        <v>#REF!</v>
      </c>
      <c r="AF46" s="8" t="e">
        <f>#REF!</f>
        <v>#REF!</v>
      </c>
    </row>
    <row r="47" spans="1:34" ht="15" customHeight="1" x14ac:dyDescent="0.25">
      <c r="B47" s="107" t="str">
        <f>RIGHT(RTD("cqg.rtd",,"ContractData","RBES1?4", "LongDescription"),15)&amp;" &amp; "&amp;RIGHT(RTD("cqg.rtd",,"ContractData","RBES1?5", "LongDescription"),15)</f>
        <v xml:space="preserve"> Jul 15, Aug 15 &amp;  Aug 15, Sep 15</v>
      </c>
      <c r="C47" s="108"/>
      <c r="D47" s="109"/>
      <c r="E47" s="154">
        <f xml:space="preserve"> RTD("cqg.rtd",,"StudyData","Consolidate(RBES1?4-RBES1?5,5X,RBES1?4-RBES1?5,1,0)",  "Bar",, "Open", "D",,,,,,"T")</f>
        <v>-4.7999999999999996E-3</v>
      </c>
      <c r="F47" s="155">
        <f xml:space="preserve"> RTD("cqg.rtd",,"StudyData","Consolidate(RBES1?4-RBES1?5,5X,RBES1?4-RBES1?5,1,0)",  "Bar",, "High", "D",,,,,,"T")</f>
        <v>-4.7000000000000002E-3</v>
      </c>
      <c r="G47" s="155">
        <f xml:space="preserve"> RTD("cqg.rtd",,"StudyData","Consolidate(RBES1?4-RBES1?5,5X,RBES1?4-RBES1?5,1,0)",  "Bar",, "Low", "D",,,,,,"T")</f>
        <v>-6.4000000000000003E-3</v>
      </c>
      <c r="H47" s="155">
        <f xml:space="preserve"> RTD("cqg.rtd",,"StudyData","Consolidate(RBES1?4-RBES1?5,5X,RBES1?4-RBES1?5,1,0)",  "Bar",, "Close", "D",,,,,,"T")</f>
        <v>-5.4000000000000003E-3</v>
      </c>
      <c r="I47" s="157">
        <f xml:space="preserve"> RTD("cqg.rtd",,"StudyData","Consolidate(RBES1?4-RBES1?5,5X,RBES1?4-RBES1?5,1,0)",  "Bar",, "Close", "D","0",,,,,"T")-RTD("cqg.rtd",,"StudyData","Consolidate(RBES1?4-RBES1?5,5X,RBES1?4-RBES1?5,1,0)",  "Bar",, "Close", "D","-1",,,,,"T")</f>
        <v>-6.0000000000000071E-4</v>
      </c>
      <c r="J47" s="50"/>
      <c r="K47" s="5"/>
      <c r="L47" s="5"/>
      <c r="M47" s="5"/>
      <c r="N47" s="5"/>
      <c r="O47" s="5"/>
      <c r="P47" s="5"/>
      <c r="Q47" s="42"/>
      <c r="R47" s="42"/>
      <c r="S47" s="42"/>
      <c r="T47" s="45"/>
      <c r="U47" s="45"/>
      <c r="V47" s="42"/>
      <c r="AA47" s="8">
        <f>RTD("cqg.rtd", ,"ContractData",AC47, "T_CVol")</f>
        <v>4495</v>
      </c>
      <c r="AC47" s="8" t="str">
        <f>RBE!Q6</f>
        <v>RBEQ5</v>
      </c>
      <c r="AD47" s="8" t="e">
        <f>RTD("cqg.rtd", ,"ContractData",AF47, "T_CVol")</f>
        <v>#REF!</v>
      </c>
      <c r="AF47" s="8" t="e">
        <f>#REF!</f>
        <v>#REF!</v>
      </c>
    </row>
    <row r="48" spans="1:34" ht="15" customHeight="1" x14ac:dyDescent="0.25">
      <c r="B48" s="107" t="str">
        <f>RIGHT(RTD("cqg.rtd",,"ContractData","RBES1?5", "LongDescription"),15)&amp;" &amp; "&amp;RIGHT(RTD("cqg.rtd",,"ContractData","RBES1?6", "LongDescription"),15)</f>
        <v xml:space="preserve"> Aug 15, Sep 15 &amp;  Sep 15, Oct 15</v>
      </c>
      <c r="C48" s="108"/>
      <c r="D48" s="109"/>
      <c r="E48" s="154">
        <f xml:space="preserve"> RTD("cqg.rtd",,"StudyData","Consolidate(RBES1?5-RBES1?6,5X,RBES1?5-RBES1?6,1,0)",  "Bar",, "Open", "D",,,,,,"T")</f>
        <v>-0.1055</v>
      </c>
      <c r="F48" s="155">
        <f xml:space="preserve"> RTD("cqg.rtd",,"StudyData","Consolidate(RBES1?5-RBES1?6,5X,RBES1?5-RBES1?6,1,0)",  "Bar",, "High", "D",,,,,,"T")</f>
        <v>-0.1036</v>
      </c>
      <c r="G48" s="155">
        <f xml:space="preserve"> RTD("cqg.rtd",,"StudyData","Consolidate(RBES1?5-RBES1?6,5X,RBES1?5-RBES1?6,1,0)",  "Bar",, "Low", "D",,,,,,"T")</f>
        <v>-0.10680000000000001</v>
      </c>
      <c r="H48" s="155">
        <f xml:space="preserve"> RTD("cqg.rtd",,"StudyData","Consolidate(RBES1?5-RBES1?6,5X,RBES1?5-RBES1?6,1,0)",  "Bar",, "Close", "D",,,,,,"T")</f>
        <v>-0.1037</v>
      </c>
      <c r="I48" s="157">
        <f xml:space="preserve"> RTD("cqg.rtd",,"StudyData","Consolidate(RBES1?5-RBES1?6,5X,RBES1?5-RBES1?6,1,0)",  "Bar",, "Close", "D","0",,,,,"T")-RTD("cqg.rtd",,"StudyData","Consolidate(RBES1?5-RBES1?6,5X,RBES1?5-RBES1?6,1,0)",  "Bar",, "Close", "D","-1",,,,,"T")</f>
        <v>1.799999999999996E-3</v>
      </c>
      <c r="J48" s="50"/>
      <c r="K48" s="5"/>
      <c r="L48" s="5"/>
      <c r="M48" s="5"/>
      <c r="N48" s="5"/>
      <c r="O48" s="5"/>
      <c r="P48" s="5"/>
      <c r="Q48" s="42"/>
      <c r="R48" s="42"/>
      <c r="S48" s="42"/>
      <c r="T48" s="45"/>
      <c r="U48" s="45"/>
      <c r="V48" s="42"/>
      <c r="AA48" s="8">
        <f>RTD("cqg.rtd", ,"ContractData",AC48, "T_CVol")</f>
        <v>3644</v>
      </c>
      <c r="AC48" s="8" t="str">
        <f>RBE!Q7</f>
        <v>RBEU5</v>
      </c>
      <c r="AD48" s="8" t="e">
        <f>RTD("cqg.rtd", ,"ContractData",AF48, "T_CVol")</f>
        <v>#REF!</v>
      </c>
      <c r="AF48" s="8" t="e">
        <f>#REF!</f>
        <v>#REF!</v>
      </c>
    </row>
    <row r="49" spans="1:34" ht="15" customHeight="1" x14ac:dyDescent="0.25">
      <c r="B49" s="107" t="str">
        <f>RIGHT(RTD("cqg.rtd",,"ContractData","RBES1?6", "LongDescription"),15)&amp;" &amp; "&amp;RIGHT(RTD("cqg.rtd",,"ContractData","RBES1?7", "LongDescription"),15)</f>
        <v xml:space="preserve"> Sep 15, Oct 15 &amp;  Oct 15, Nov 15</v>
      </c>
      <c r="C49" s="108"/>
      <c r="D49" s="109"/>
      <c r="E49" s="154">
        <f xml:space="preserve"> RTD("cqg.rtd",,"StudyData","Consolidate(RBES1?6-RBES1?7,5X,RBES1?6-RBES1?7,1,0)",  "Bar",, "Open", "D",,,,,,"T")</f>
        <v>9.9599999999999994E-2</v>
      </c>
      <c r="F49" s="155">
        <f xml:space="preserve"> RTD("cqg.rtd",,"StudyData","Consolidate(RBES1?6-RBES1?7,5X,RBES1?6-RBES1?7,1,0)",  "Bar",, "High", "D",,,,,,"T")</f>
        <v>0.1004</v>
      </c>
      <c r="G49" s="155">
        <f xml:space="preserve"> RTD("cqg.rtd",,"StudyData","Consolidate(RBES1?6-RBES1?7,5X,RBES1?6-RBES1?7,1,0)",  "Bar",, "Low", "D",,,,,,"T")</f>
        <v>9.7600000000000006E-2</v>
      </c>
      <c r="H49" s="155">
        <f xml:space="preserve"> RTD("cqg.rtd",,"StudyData","Consolidate(RBES1?6-RBES1?7,5X,RBES1?6-RBES1?7,1,0)",  "Bar",, "Close", "D",,,,,,"T")</f>
        <v>9.7799999999999998E-2</v>
      </c>
      <c r="I49" s="157">
        <f xml:space="preserve"> RTD("cqg.rtd",,"StudyData","Consolidate(RBES1?6-RBES1?7,5X,RBES1?6-RBES1?7,1,0)",  "Bar",, "Close", "D","0",,,,,"T")-RTD("cqg.rtd",,"StudyData","Consolidate(RBES1?6-RBES1?7,5X,RBES1?6-RBES1?7,1,0)",  "Bar",, "Close", "D","-1",,,,,"T")</f>
        <v>-1.799999999999996E-3</v>
      </c>
      <c r="J49" s="51"/>
      <c r="K49" s="6"/>
      <c r="L49" s="6"/>
      <c r="M49" s="6"/>
      <c r="N49" s="6"/>
      <c r="O49" s="6"/>
      <c r="P49" s="6"/>
      <c r="Q49" s="42"/>
      <c r="R49" s="42"/>
      <c r="S49" s="42"/>
      <c r="T49" s="45"/>
      <c r="U49" s="45"/>
      <c r="V49" s="42"/>
      <c r="AA49" s="8">
        <f>RTD("cqg.rtd", ,"ContractData",AC49, "T_CVol")</f>
        <v>1560</v>
      </c>
      <c r="AC49" s="8" t="str">
        <f>RBE!Q8</f>
        <v>RBEV5</v>
      </c>
      <c r="AD49" s="8" t="e">
        <f>RTD("cqg.rtd", ,"ContractData",AF49, "T_CVol")</f>
        <v>#REF!</v>
      </c>
      <c r="AF49" s="8" t="e">
        <f>#REF!</f>
        <v>#REF!</v>
      </c>
    </row>
    <row r="50" spans="1:34" ht="15" customHeight="1" x14ac:dyDescent="0.25">
      <c r="B50" s="107" t="str">
        <f>RIGHT(RTD("cqg.rtd",,"ContractData","RBES1?7", "LongDescription"),15)&amp;" &amp; "&amp;RIGHT(RTD("cqg.rtd",,"ContractData","RBES1?8", "LongDescription"),15)</f>
        <v xml:space="preserve"> Oct 15, Nov 15 &amp;  Nov 15, Dec 15</v>
      </c>
      <c r="C50" s="108"/>
      <c r="D50" s="109"/>
      <c r="E50" s="154">
        <f xml:space="preserve"> RTD("cqg.rtd",,"StudyData","Consolidate(RBES1?7-RBES1?8,5X,RBES1?7-RBES1?8,1,0)",  "Bar",, "Open", "D",,,,,,"T")</f>
        <v>1.35E-2</v>
      </c>
      <c r="F50" s="155">
        <f xml:space="preserve"> RTD("cqg.rtd",,"StudyData","Consolidate(RBES1?7-RBES1?8,5X,RBES1?7-RBES1?8,1,0)",  "Bar",, "High", "D",,,,,,"T")</f>
        <v>1.35E-2</v>
      </c>
      <c r="G50" s="155">
        <f xml:space="preserve"> RTD("cqg.rtd",,"StudyData","Consolidate(RBES1?7-RBES1?8,5X,RBES1?7-RBES1?8,1,0)",  "Bar",, "Low", "D",,,,,,"T")</f>
        <v>1.2200000000000001E-2</v>
      </c>
      <c r="H50" s="155">
        <f xml:space="preserve"> RTD("cqg.rtd",,"StudyData","Consolidate(RBES1?7-RBES1?8,5X,RBES1?7-RBES1?8,1,0)",  "Bar",, "Close", "D",,,,,,"T")</f>
        <v>1.24E-2</v>
      </c>
      <c r="I50" s="157">
        <f xml:space="preserve"> RTD("cqg.rtd",,"StudyData","Consolidate(RBES1?7-RBES1?8,5X,RBES1?7-RBES1?8,1,0)",  "Bar",, "Close", "D","0",,,,,"T")-RTD("cqg.rtd",,"StudyData","Consolidate(RBES1?7-RBES1?8,5X,RBES1?7-RBES1?8,1,0)",  "Bar",, "Close", "D","-1",,,,,"T")</f>
        <v>-1.1000000000000003E-3</v>
      </c>
      <c r="J50" s="50"/>
      <c r="K50" s="5"/>
      <c r="L50" s="5"/>
      <c r="M50" s="5"/>
      <c r="N50" s="5"/>
      <c r="O50" s="5"/>
      <c r="P50" s="5"/>
      <c r="Q50" s="42"/>
      <c r="R50" s="42"/>
      <c r="S50" s="42"/>
      <c r="T50" s="45"/>
      <c r="U50" s="45"/>
      <c r="V50" s="42"/>
      <c r="AA50" s="8">
        <f>RTD("cqg.rtd", ,"ContractData",AC50, "T_CVol")</f>
        <v>648</v>
      </c>
      <c r="AC50" s="8" t="str">
        <f>RBE!Q9</f>
        <v>RBEX5</v>
      </c>
      <c r="AD50" s="8" t="e">
        <f>RTD("cqg.rtd", ,"ContractData",AF50, "T_CVol")</f>
        <v>#REF!</v>
      </c>
      <c r="AF50" s="8" t="e">
        <f>#REF!</f>
        <v>#REF!</v>
      </c>
    </row>
    <row r="51" spans="1:34" ht="15" customHeight="1" x14ac:dyDescent="0.25">
      <c r="B51" s="107" t="str">
        <f>RIGHT(RTD("cqg.rtd",,"ContractData","RBES1?8", "LongDescription"),15)&amp;" &amp; "&amp;RIGHT(RTD("cqg.rtd",,"ContractData","RBES1?9", "LongDescription"),15)</f>
        <v xml:space="preserve"> Nov 15, Dec 15 &amp;  Dec 15, Jan 16</v>
      </c>
      <c r="C51" s="108"/>
      <c r="D51" s="109"/>
      <c r="E51" s="154">
        <f xml:space="preserve"> RTD("cqg.rtd",,"StudyData","Consolidate(RBES1?8-RBES1?9,5X,RBES1?8-RBES1?9,1,0)",  "Bar",, "Open", "D",,,,,,"T")</f>
        <v>2.1399999999999999E-2</v>
      </c>
      <c r="F51" s="155">
        <f xml:space="preserve"> RTD("cqg.rtd",,"StudyData","Consolidate(RBES1?8-RBES1?9,5X,RBES1?8-RBES1?9,1,0)",  "Bar",, "High", "D",,,,,,"T")</f>
        <v>2.2599999999999999E-2</v>
      </c>
      <c r="G51" s="155">
        <f xml:space="preserve"> RTD("cqg.rtd",,"StudyData","Consolidate(RBES1?8-RBES1?9,5X,RBES1?8-RBES1?9,1,0)",  "Bar",, "Low", "D",,,,,,"T")</f>
        <v>2.06E-2</v>
      </c>
      <c r="H51" s="155">
        <f xml:space="preserve"> RTD("cqg.rtd",,"StudyData","Consolidate(RBES1?8-RBES1?9,5X,RBES1?8-RBES1?9,1,0)",  "Bar",, "Close", "D",,,,,,"T")</f>
        <v>2.1499999999999998E-2</v>
      </c>
      <c r="I51" s="157">
        <f xml:space="preserve"> RTD("cqg.rtd",,"StudyData","Consolidate(RBES1?8-RBES1?9,5X,RBES1?8-RBES1?9,1,0)",  "Bar",, "Close", "D","0",,,,,"T")-RTD("cqg.rtd",,"StudyData","Consolidate(RBES1?8-RBES1?9,5X,RBES1?8-RBES1?9,1,0)",  "Bar",, "Close", "D","-1",,,,,"T")</f>
        <v>9.9999999999999395E-5</v>
      </c>
      <c r="J51" s="50"/>
      <c r="K51" s="5"/>
      <c r="L51" s="5"/>
      <c r="M51" s="5"/>
      <c r="N51" s="5"/>
      <c r="O51" s="5"/>
      <c r="P51" s="5"/>
      <c r="Q51" s="42"/>
      <c r="R51" s="42"/>
      <c r="S51" s="42"/>
      <c r="T51" s="45"/>
      <c r="U51" s="45"/>
      <c r="V51" s="42"/>
      <c r="AA51" s="8">
        <f>RTD("cqg.rtd", ,"ContractData",AC51, "T_CVol")</f>
        <v>1902</v>
      </c>
      <c r="AC51" s="8" t="str">
        <f>RBE!Q10</f>
        <v>RBEZ5</v>
      </c>
      <c r="AD51" s="8" t="e">
        <f>RTD("cqg.rtd", ,"ContractData",AF51, "T_CVol")</f>
        <v>#REF!</v>
      </c>
      <c r="AF51" s="8" t="e">
        <f>#REF!</f>
        <v>#REF!</v>
      </c>
    </row>
    <row r="52" spans="1:34" ht="15" customHeight="1" x14ac:dyDescent="0.25">
      <c r="B52" s="107" t="str">
        <f>RIGHT(RTD("cqg.rtd",,"ContractData","RBES1?9", "LongDescription"),15)&amp;" &amp; "&amp;RIGHT(RTD("cqg.rtd",,"ContractData","RBES1?10", "LongDescription"),15)</f>
        <v xml:space="preserve"> Dec 15, Jan 16 &amp;  Jan 16, Feb 16</v>
      </c>
      <c r="C52" s="108"/>
      <c r="D52" s="109"/>
      <c r="E52" s="154">
        <f xml:space="preserve"> RTD("cqg.rtd",,"StudyData","Consolidate(RBES1?9-RBES1?10,5X,RBES1?9-RBES1?10,1,0)",  "Bar",, "Open", "D",,,,,,"T")</f>
        <v>1.2699999999999999E-2</v>
      </c>
      <c r="F52" s="155">
        <f xml:space="preserve"> RTD("cqg.rtd",,"StudyData","Consolidate(RBES1?9-RBES1?10,5X,RBES1?9-RBES1?10,1,0)",  "Bar",, "High", "D",,,,,,"T")</f>
        <v>1.2699999999999999E-2</v>
      </c>
      <c r="G52" s="155">
        <f xml:space="preserve"> RTD("cqg.rtd",,"StudyData","Consolidate(RBES1?9-RBES1?10,5X,RBES1?9-RBES1?10,1,0)",  "Bar",, "Low", "D",,,,,,"T")</f>
        <v>1.06E-2</v>
      </c>
      <c r="H52" s="155">
        <f xml:space="preserve"> RTD("cqg.rtd",,"StudyData","Consolidate(RBES1?9-RBES1?10,5X,RBES1?9-RBES1?10,1,0)",  "Bar",, "Close", "D",,,,,,"T")</f>
        <v>1.1900000000000001E-2</v>
      </c>
      <c r="I52" s="157">
        <f xml:space="preserve"> RTD("cqg.rtd",,"StudyData","Consolidate(RBES1?9-RBES1?10,5X,RBES1?9-RBES1?10,1,0)",  "Bar",, "Close", "D","0",,,,,"T")-RTD("cqg.rtd",,"StudyData","Consolidate(RBES1?9-RBES1?10,5X,RBES1?9-RBES1?10,1,0)",  "Bar",, "Close", "D","-1",,,,,"T")</f>
        <v>-7.9999999999999863E-4</v>
      </c>
      <c r="J52" s="50"/>
      <c r="K52" s="5"/>
      <c r="L52" s="5"/>
      <c r="M52" s="5"/>
      <c r="N52" s="5"/>
      <c r="O52" s="5"/>
      <c r="P52" s="5"/>
      <c r="Q52" s="42"/>
      <c r="R52" s="42"/>
      <c r="S52" s="42"/>
      <c r="T52" s="45"/>
      <c r="U52" s="45"/>
      <c r="V52" s="42"/>
      <c r="AA52" s="8">
        <f>RTD("cqg.rtd", ,"ContractData",AC52, "T_CVol")</f>
        <v>50</v>
      </c>
      <c r="AC52" s="8" t="str">
        <f>RBE!Q11</f>
        <v>RBEF6</v>
      </c>
      <c r="AD52" s="8" t="e">
        <f>RTD("cqg.rtd", ,"ContractData",AF52, "T_CVol")</f>
        <v>#REF!</v>
      </c>
      <c r="AF52" s="8" t="e">
        <f>#REF!</f>
        <v>#REF!</v>
      </c>
    </row>
    <row r="53" spans="1:34" ht="15" customHeight="1" x14ac:dyDescent="0.25">
      <c r="B53" s="107" t="str">
        <f>RIGHT(RTD("cqg.rtd",,"ContractData","RBES1?10", "LongDescription"),15)&amp;" &amp; "&amp;RIGHT(RTD("cqg.rtd",,"ContractData","RBES1?11", "LongDescription"),15)</f>
        <v xml:space="preserve"> Jan 16, Feb 16 &amp;  Feb 16, Mar 16</v>
      </c>
      <c r="C53" s="108"/>
      <c r="D53" s="109"/>
      <c r="E53" s="154">
        <f xml:space="preserve"> RTD("cqg.rtd",,"StudyData","Consolidate(RBES1?10-RBES1?11,5X,RBES1?10-RBES1?11,1,0)",  "Bar",, "Open", "D",,,,,,"T")</f>
        <v>8.3000000000000001E-3</v>
      </c>
      <c r="F53" s="155">
        <f xml:space="preserve"> RTD("cqg.rtd",,"StudyData","Consolidate(RBES1?10-RBES1?11,5X,RBES1?10-RBES1?11,1,0)",  "Bar",, "High", "D",,,,,,"T")</f>
        <v>8.6E-3</v>
      </c>
      <c r="G53" s="155">
        <f xml:space="preserve"> RTD("cqg.rtd",,"StudyData","Consolidate(RBES1?10-RBES1?11,5X,RBES1?10-RBES1?11,1,0)",  "Bar",, "Low", "D",,,,,,"T")</f>
        <v>8.3000000000000001E-3</v>
      </c>
      <c r="H53" s="155">
        <f xml:space="preserve"> RTD("cqg.rtd",,"StudyData","Consolidate(RBES1?10-RBES1?11,5X,RBES1?10-RBES1?11,1,0)",  "Bar",, "Close", "D",,,,,,"T")</f>
        <v>8.6E-3</v>
      </c>
      <c r="I53" s="157">
        <f xml:space="preserve"> RTD("cqg.rtd",,"StudyData","Consolidate(RBES1?10-RBES1?11,5X,RBES1?10-RBES1?11,1,0)",  "Bar",, "Close", "D","0",,,,,"T")-RTD("cqg.rtd",,"StudyData","Consolidate(RBES1?10-RBES1?11,5X,RBES1?10-RBES1?11,1,0)",  "Bar",, "Close", "D","-1",,,,,"T")</f>
        <v>2.9999999999999992E-4</v>
      </c>
      <c r="J53" s="52"/>
      <c r="K53" s="2"/>
      <c r="L53" s="6"/>
      <c r="M53" s="6"/>
      <c r="N53" s="6"/>
      <c r="O53" s="6"/>
      <c r="P53" s="6"/>
      <c r="Q53" s="42"/>
      <c r="R53" s="42"/>
      <c r="S53" s="42"/>
      <c r="T53" s="45"/>
      <c r="U53" s="45"/>
      <c r="V53" s="42"/>
      <c r="AA53" s="8">
        <f>RTD("cqg.rtd", ,"ContractData",AC53, "T_CVol")</f>
        <v>1</v>
      </c>
      <c r="AC53" s="8" t="str">
        <f>RBE!Q12</f>
        <v>RBEG6</v>
      </c>
      <c r="AD53" s="8" t="e">
        <f>RTD("cqg.rtd", ,"ContractData",AF53, "T_CVol")</f>
        <v>#REF!</v>
      </c>
      <c r="AF53" s="8" t="e">
        <f>#REF!</f>
        <v>#REF!</v>
      </c>
    </row>
    <row r="54" spans="1:34" ht="15" customHeight="1" x14ac:dyDescent="0.25">
      <c r="B54" s="103"/>
      <c r="C54" s="104"/>
      <c r="D54" s="86"/>
      <c r="E54" s="87"/>
      <c r="F54" s="88"/>
      <c r="G54" s="87"/>
      <c r="H54" s="89"/>
      <c r="I54" s="90"/>
      <c r="J54" s="84"/>
      <c r="K54" s="5"/>
      <c r="L54" s="5"/>
      <c r="M54" s="5"/>
      <c r="N54" s="5"/>
      <c r="O54" s="5"/>
      <c r="P54" s="5"/>
      <c r="Q54" s="42"/>
      <c r="R54" s="42"/>
      <c r="S54" s="42"/>
      <c r="T54" s="45"/>
      <c r="U54" s="45"/>
      <c r="V54" s="42"/>
      <c r="AA54" s="8">
        <f>RTD("cqg.rtd", ,"ContractData",AC54, "T_CVol")</f>
        <v>6</v>
      </c>
      <c r="AC54" s="8" t="str">
        <f>RBE!Q13</f>
        <v>RBEH6</v>
      </c>
      <c r="AD54" s="8" t="e">
        <f>RTD("cqg.rtd", ,"ContractData",AF54, "T_CVol")</f>
        <v>#REF!</v>
      </c>
      <c r="AF54" s="8" t="e">
        <f>#REF!</f>
        <v>#REF!</v>
      </c>
    </row>
    <row r="55" spans="1:34" ht="15" customHeight="1" x14ac:dyDescent="0.25">
      <c r="B55" s="91" t="s">
        <v>21</v>
      </c>
      <c r="C55" s="101">
        <f>RTD("cqg.rtd", ,"SystemInfo", "Linetime")</f>
        <v>42068.441886574074</v>
      </c>
      <c r="D55" s="101"/>
      <c r="E55" s="102" t="s">
        <v>9</v>
      </c>
      <c r="F55" s="102"/>
      <c r="G55" s="101">
        <f>RTD("cqg.rtd", ,"SystemInfo", "Linetime")+0.25</f>
        <v>42068.691886574074</v>
      </c>
      <c r="H55" s="101"/>
      <c r="I55" s="93"/>
      <c r="J55" s="84"/>
      <c r="K55" s="5"/>
      <c r="L55" s="5"/>
      <c r="M55" s="5"/>
      <c r="N55" s="5"/>
      <c r="O55" s="5"/>
      <c r="P55" s="5"/>
      <c r="Q55" s="42"/>
      <c r="R55" s="42"/>
      <c r="S55" s="42"/>
      <c r="T55" s="45"/>
      <c r="U55" s="45"/>
      <c r="V55" s="42"/>
    </row>
    <row r="56" spans="1:34" ht="15" customHeight="1" x14ac:dyDescent="0.25">
      <c r="B56" s="91" t="s">
        <v>23</v>
      </c>
      <c r="C56" s="101">
        <f>RTD("cqg.rtd", ,"SystemInfo", "Linetime")+15/24</f>
        <v>42069.066886574074</v>
      </c>
      <c r="D56" s="101"/>
      <c r="E56" s="92"/>
      <c r="F56" s="105" t="s">
        <v>22</v>
      </c>
      <c r="G56" s="105"/>
      <c r="H56" s="105"/>
      <c r="I56" s="93"/>
      <c r="J56" s="85"/>
      <c r="K56" s="53"/>
      <c r="L56" s="53"/>
      <c r="M56" s="53"/>
      <c r="N56" s="53"/>
      <c r="O56" s="53"/>
      <c r="P56" s="53"/>
      <c r="Q56" s="54"/>
      <c r="R56" s="54"/>
      <c r="S56" s="54"/>
      <c r="T56" s="55"/>
      <c r="U56" s="45"/>
      <c r="V56" s="42"/>
      <c r="AA56" s="8">
        <f>RTD("cqg.rtd", ,"ContractData",AC56, "T_CVol")</f>
        <v>11827</v>
      </c>
      <c r="AC56" s="8" t="str">
        <f>RBE!V2</f>
        <v>RBES1J</v>
      </c>
      <c r="AD56" s="8" t="e">
        <f>RTD("cqg.rtd",,"StudyData",AF56, "Vol", "VolType=auto,CoCType=Contract", "Vol","D","0","ALL",,,"TRUE","T")</f>
        <v>#REF!</v>
      </c>
      <c r="AF56" s="8" t="e">
        <f>#REF!</f>
        <v>#REF!</v>
      </c>
    </row>
    <row r="57" spans="1:34" ht="15.9" customHeight="1" x14ac:dyDescent="0.25">
      <c r="B57" s="120"/>
      <c r="C57" s="106"/>
      <c r="D57" s="106"/>
      <c r="E57" s="106"/>
      <c r="F57" s="106"/>
      <c r="G57" s="118"/>
      <c r="H57" s="118"/>
      <c r="I57" s="134"/>
      <c r="J57" s="134"/>
      <c r="K57" s="94"/>
      <c r="L57" s="95"/>
      <c r="M57" s="119"/>
      <c r="N57" s="119"/>
      <c r="O57" s="118"/>
      <c r="P57" s="118"/>
      <c r="Q57" s="133"/>
      <c r="R57" s="133"/>
      <c r="S57" s="95"/>
      <c r="T57" s="119"/>
      <c r="U57" s="132"/>
      <c r="V57" s="42"/>
      <c r="AA57" s="8">
        <f>RTD("cqg.rtd", ,"ContractData",AC57, "T_CVol")</f>
        <v>7711</v>
      </c>
      <c r="AC57" s="8" t="str">
        <f>RBE!V3</f>
        <v>RBES1K</v>
      </c>
      <c r="AD57" s="8" t="e">
        <f>RTD("cqg.rtd",,"StudyData",AF57, "Vol", "VolType=auto,CoCType=Contract", "Vol","D","0","ALL",,,"TRUE","T")</f>
        <v>#REF!</v>
      </c>
      <c r="AF57" s="8" t="e">
        <f>#REF!</f>
        <v>#REF!</v>
      </c>
    </row>
    <row r="58" spans="1:34" ht="15.9" customHeight="1" x14ac:dyDescent="0.25">
      <c r="B58" s="3"/>
      <c r="C58" s="3"/>
      <c r="D58" s="3"/>
      <c r="E58" s="3"/>
      <c r="F58" s="5"/>
      <c r="G58" s="5"/>
      <c r="N58" s="5"/>
      <c r="O58" s="5"/>
      <c r="P58" s="5"/>
      <c r="V58" s="42"/>
      <c r="AA58" s="8">
        <f>RTD("cqg.rtd", ,"ContractData",AC58, "T_CVol")</f>
        <v>4139</v>
      </c>
      <c r="AC58" s="8" t="str">
        <f>RBE!V4</f>
        <v>RBES1M</v>
      </c>
      <c r="AD58" s="8" t="e">
        <f>RTD("cqg.rtd",,"StudyData",AF58, "Vol", "VolType=auto,CoCType=Contract", "Vol","D","0","ALL",,,"TRUE","T")</f>
        <v>#REF!</v>
      </c>
      <c r="AF58" s="8" t="e">
        <f>#REF!</f>
        <v>#REF!</v>
      </c>
    </row>
    <row r="59" spans="1:34" ht="15.9" customHeight="1" x14ac:dyDescent="0.25">
      <c r="B59" s="91"/>
      <c r="C59" s="101"/>
      <c r="D59" s="101"/>
      <c r="V59" s="42"/>
      <c r="AA59" s="8">
        <f>RTD("cqg.rtd", ,"ContractData",AC59, "T_CVol")</f>
        <v>1896</v>
      </c>
      <c r="AC59" s="8" t="str">
        <f>RBE!V5</f>
        <v>RBES1N</v>
      </c>
      <c r="AD59" s="8" t="e">
        <f>RTD("cqg.rtd",,"StudyData",AF59, "Vol", "VolType=auto,CoCType=Contract", "Vol","D","0","ALL",,,"TRUE","T")</f>
        <v>#REF!</v>
      </c>
      <c r="AF59" s="8" t="e">
        <f>#REF!</f>
        <v>#REF!</v>
      </c>
    </row>
    <row r="60" spans="1:34" ht="15.9" customHeight="1" x14ac:dyDescent="0.25">
      <c r="V60" s="42"/>
      <c r="AA60" s="8">
        <f>RTD("cqg.rtd", ,"ContractData",AC60, "T_CVol")</f>
        <v>1575</v>
      </c>
      <c r="AC60" s="8" t="str">
        <f>RBE!V6</f>
        <v>RBES1Q</v>
      </c>
      <c r="AD60" s="8" t="e">
        <f>RTD("cqg.rtd",,"StudyData",AF60, "Vol", "VolType=auto,CoCType=Contract", "Vol","D","0","ALL",,,"TRUE","T")</f>
        <v>#REF!</v>
      </c>
      <c r="AF60" s="8" t="e">
        <f>#REF!</f>
        <v>#REF!</v>
      </c>
    </row>
    <row r="61" spans="1:34" ht="15.9" customHeight="1" x14ac:dyDescent="0.25">
      <c r="F61" s="7"/>
      <c r="G61" s="7"/>
      <c r="H61" s="7"/>
      <c r="I61" s="7"/>
      <c r="J61" s="7"/>
      <c r="K61" s="7"/>
      <c r="L61" s="7"/>
      <c r="M61" s="7"/>
      <c r="N61" s="7"/>
      <c r="V61" s="42"/>
      <c r="AA61" s="8">
        <f>RTD("cqg.rtd", ,"ContractData",AC61, "T_CVol")</f>
        <v>725</v>
      </c>
      <c r="AC61" s="8" t="str">
        <f>RBE!V7</f>
        <v>RBES1U</v>
      </c>
      <c r="AD61" s="8" t="e">
        <f>RTD("cqg.rtd",,"StudyData",AF61, "Vol", "VolType=auto,CoCType=Contract", "Vol","D","0","ALL",,,"TRUE","T")</f>
        <v>#REF!</v>
      </c>
      <c r="AF61" s="8" t="e">
        <f>#REF!</f>
        <v>#REF!</v>
      </c>
    </row>
    <row r="62" spans="1:34" ht="15.9" customHeight="1" x14ac:dyDescent="0.25">
      <c r="F62" s="7"/>
      <c r="G62" s="7"/>
      <c r="H62" s="7"/>
      <c r="I62" s="7"/>
      <c r="J62" s="7"/>
      <c r="K62" s="7"/>
      <c r="L62" s="7"/>
      <c r="M62" s="7"/>
      <c r="N62" s="7"/>
      <c r="V62" s="42"/>
      <c r="AA62" s="8">
        <f>RTD("cqg.rtd", ,"ContractData",AC62, "T_CVol")</f>
        <v>320</v>
      </c>
      <c r="AC62" s="8" t="str">
        <f>RBE!V8</f>
        <v>RBES1V</v>
      </c>
      <c r="AD62" s="8" t="e">
        <f>RTD("cqg.rtd",,"StudyData",AF62, "Vol", "VolType=auto,CoCType=Contract", "Vol","D","0","ALL",,,"TRUE","T")</f>
        <v>#REF!</v>
      </c>
      <c r="AF62" s="8" t="e">
        <f>#REF!</f>
        <v>#REF!</v>
      </c>
    </row>
    <row r="63" spans="1:34" s="22" customFormat="1" ht="20.100000000000001" customHeight="1" x14ac:dyDescent="0.3">
      <c r="A63" s="25"/>
      <c r="B63" s="1"/>
      <c r="C63" s="1"/>
      <c r="D63" s="1"/>
      <c r="E63" s="1"/>
      <c r="F63" s="7"/>
      <c r="G63" s="7"/>
      <c r="H63" s="7"/>
      <c r="I63" s="7"/>
      <c r="J63" s="7"/>
      <c r="K63" s="7"/>
      <c r="L63" s="7"/>
      <c r="M63" s="7"/>
      <c r="N63" s="7"/>
      <c r="O63" s="1"/>
      <c r="P63" s="7"/>
      <c r="Q63" s="1"/>
      <c r="R63" s="1"/>
      <c r="S63" s="1"/>
      <c r="T63" s="1"/>
      <c r="U63" s="1"/>
      <c r="V63" s="78"/>
      <c r="W63" s="78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</row>
    <row r="64" spans="1:34" ht="15.9" customHeight="1" x14ac:dyDescent="0.25">
      <c r="F64" s="7"/>
      <c r="G64" s="7"/>
      <c r="H64" s="7"/>
      <c r="I64" s="7"/>
      <c r="J64" s="7"/>
      <c r="K64" s="7"/>
      <c r="L64" s="7"/>
      <c r="M64" s="7"/>
      <c r="N64" s="7"/>
    </row>
    <row r="65" spans="6:14" ht="15.9" customHeight="1" x14ac:dyDescent="0.25">
      <c r="F65" s="7"/>
      <c r="G65" s="7"/>
      <c r="H65" s="7"/>
      <c r="I65" s="7"/>
      <c r="J65" s="7"/>
      <c r="K65" s="7"/>
      <c r="L65" s="7"/>
      <c r="M65" s="7"/>
      <c r="N65" s="7"/>
    </row>
    <row r="66" spans="6:14" ht="15" customHeight="1" x14ac:dyDescent="0.25">
      <c r="F66" s="7"/>
      <c r="G66" s="7"/>
      <c r="H66" s="7"/>
      <c r="I66" s="7"/>
      <c r="J66" s="7"/>
      <c r="K66" s="7"/>
      <c r="L66" s="7"/>
      <c r="M66" s="7"/>
      <c r="N66" s="7"/>
    </row>
    <row r="67" spans="6:14" x14ac:dyDescent="0.25">
      <c r="F67" s="7"/>
      <c r="G67" s="7"/>
      <c r="H67" s="7"/>
      <c r="I67" s="7"/>
      <c r="J67" s="7"/>
      <c r="K67" s="7"/>
      <c r="L67" s="7"/>
      <c r="M67" s="7"/>
      <c r="N67" s="7"/>
    </row>
    <row r="68" spans="6:14" x14ac:dyDescent="0.25">
      <c r="F68" s="7"/>
      <c r="G68" s="7"/>
      <c r="H68" s="7"/>
      <c r="I68" s="7"/>
      <c r="J68" s="7"/>
      <c r="K68" s="7"/>
      <c r="L68" s="7"/>
      <c r="M68" s="7"/>
      <c r="N68" s="7"/>
    </row>
  </sheetData>
  <sheetProtection algorithmName="SHA-512" hashValue="NZLD+BnM4y+CgOxMS9KGcGWOT9ztNHYgkI2N53vVY9yLrLT5aXvPPNuyRFThjTeliTBJb5hSjhEmlcw4se6IZw==" saltValue="es6n34rZsfuo3mWd+d5dtw==" spinCount="100000" sheet="1" objects="1" scenarios="1" selectLockedCells="1" selectUnlockedCells="1"/>
  <mergeCells count="50">
    <mergeCell ref="T57:U57"/>
    <mergeCell ref="R3:T3"/>
    <mergeCell ref="Q57:R57"/>
    <mergeCell ref="I57:J57"/>
    <mergeCell ref="J4:U5"/>
    <mergeCell ref="J42:J44"/>
    <mergeCell ref="J13:J15"/>
    <mergeCell ref="H3:J3"/>
    <mergeCell ref="K3:M3"/>
    <mergeCell ref="B4:I5"/>
    <mergeCell ref="C9:C10"/>
    <mergeCell ref="D9:E10"/>
    <mergeCell ref="F9:G10"/>
    <mergeCell ref="H9:I10"/>
    <mergeCell ref="B7:B8"/>
    <mergeCell ref="C7:C8"/>
    <mergeCell ref="O57:P57"/>
    <mergeCell ref="M57:N57"/>
    <mergeCell ref="B57:D57"/>
    <mergeCell ref="G57:H57"/>
    <mergeCell ref="N3:Q3"/>
    <mergeCell ref="B3:D3"/>
    <mergeCell ref="E3:G3"/>
    <mergeCell ref="B9:B10"/>
    <mergeCell ref="D7:E8"/>
    <mergeCell ref="F7:I8"/>
    <mergeCell ref="B24:C24"/>
    <mergeCell ref="B40:C40"/>
    <mergeCell ref="B46:D46"/>
    <mergeCell ref="B43:D43"/>
    <mergeCell ref="B44:D44"/>
    <mergeCell ref="B45:D45"/>
    <mergeCell ref="B51:D51"/>
    <mergeCell ref="B52:D52"/>
    <mergeCell ref="B53:D53"/>
    <mergeCell ref="B25:I26"/>
    <mergeCell ref="J26:J28"/>
    <mergeCell ref="B41:I42"/>
    <mergeCell ref="B47:D47"/>
    <mergeCell ref="B48:D48"/>
    <mergeCell ref="B49:D49"/>
    <mergeCell ref="B50:D50"/>
    <mergeCell ref="C59:D59"/>
    <mergeCell ref="E55:F55"/>
    <mergeCell ref="G55:H55"/>
    <mergeCell ref="B54:C54"/>
    <mergeCell ref="C55:D55"/>
    <mergeCell ref="C56:D56"/>
    <mergeCell ref="F56:H56"/>
    <mergeCell ref="E57:F57"/>
  </mergeCells>
  <conditionalFormatting sqref="D58">
    <cfRule type="expression" dxfId="0" priority="93">
      <formula>#REF!&lt;0</formula>
    </cfRule>
  </conditionalFormatting>
  <conditionalFormatting sqref="D58">
    <cfRule type="dataBar" priority="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{4BE5F449-0EA5-45F9-B0DD-BAC4BB0C19A2}</x14:id>
        </ext>
      </extLst>
    </cfRule>
  </conditionalFormatting>
  <conditionalFormatting sqref="G13:G23">
    <cfRule type="colorScale" priority="27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13:H23">
    <cfRule type="dataBar" priority="26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{99DD79A5-9E1A-4D97-9A2B-088CA9CF6FBF}</x14:id>
        </ext>
      </extLst>
    </cfRule>
  </conditionalFormatting>
  <conditionalFormatting sqref="I44:I53">
    <cfRule type="colorScale" priority="11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G28:G39">
    <cfRule type="colorScale" priority="4">
      <colorScale>
        <cfvo type="min"/>
        <cfvo type="num" val="0"/>
        <cfvo type="max"/>
        <color rgb="FFFF0000"/>
        <color rgb="FF00B0F0"/>
        <color rgb="FF00B050"/>
      </colorScale>
    </cfRule>
  </conditionalFormatting>
  <conditionalFormatting sqref="H28:H39">
    <cfRule type="dataBar" priority="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{C27FF9D1-13A4-4BE2-8E63-0A5565B77B3A}</x14:id>
        </ext>
      </extLst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BE5F449-0EA5-45F9-B0DD-BAC4BB0C19A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D58</xm:sqref>
        </x14:conditionalFormatting>
        <x14:conditionalFormatting xmlns:xm="http://schemas.microsoft.com/office/excel/2006/main">
          <x14:cfRule type="dataBar" id="{99DD79A5-9E1A-4D97-9A2B-088CA9CF6FB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H13:H23</xm:sqref>
        </x14:conditionalFormatting>
        <x14:conditionalFormatting xmlns:xm="http://schemas.microsoft.com/office/excel/2006/main">
          <x14:cfRule type="dataBar" id="{C27FF9D1-13A4-4BE2-8E63-0A5565B77B3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H28:H39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46"/>
  <sheetViews>
    <sheetView workbookViewId="0">
      <selection sqref="A1:XFD1048576"/>
    </sheetView>
  </sheetViews>
  <sheetFormatPr defaultColWidth="9" defaultRowHeight="13.8" x14ac:dyDescent="0.25"/>
  <cols>
    <col min="1" max="17" width="9" style="184"/>
    <col min="18" max="18" width="14.3984375" style="184" customWidth="1"/>
    <col min="19" max="19" width="9" style="184"/>
    <col min="20" max="20" width="15.19921875" style="184" customWidth="1"/>
    <col min="21" max="21" width="17.69921875" style="184" customWidth="1"/>
    <col min="22" max="22" width="11.19921875" style="184" customWidth="1"/>
    <col min="23" max="23" width="40" style="184" customWidth="1"/>
    <col min="24" max="24" width="12.8984375" style="184" customWidth="1"/>
    <col min="25" max="16384" width="9" style="184"/>
  </cols>
  <sheetData>
    <row r="1" spans="1:38" x14ac:dyDescent="0.25">
      <c r="A1" s="183"/>
      <c r="B1" s="183"/>
      <c r="C1" s="183" t="s">
        <v>2</v>
      </c>
      <c r="D1" s="184">
        <v>1</v>
      </c>
      <c r="E1" s="184">
        <v>2</v>
      </c>
      <c r="F1" s="184">
        <v>3</v>
      </c>
      <c r="G1" s="184">
        <v>4</v>
      </c>
      <c r="H1" s="184">
        <v>5</v>
      </c>
      <c r="I1" s="184">
        <v>6</v>
      </c>
      <c r="J1" s="184">
        <v>7</v>
      </c>
      <c r="K1" s="184">
        <v>8</v>
      </c>
      <c r="L1" s="184">
        <v>9</v>
      </c>
      <c r="M1" s="184">
        <v>10</v>
      </c>
      <c r="N1" s="184">
        <v>11</v>
      </c>
      <c r="O1" s="184">
        <v>12</v>
      </c>
      <c r="P1" s="185"/>
      <c r="Q1" s="186" t="s">
        <v>25</v>
      </c>
      <c r="R1" s="187" t="s">
        <v>3</v>
      </c>
      <c r="S1" s="187" t="s">
        <v>0</v>
      </c>
      <c r="T1" s="187" t="s">
        <v>1</v>
      </c>
      <c r="U1" s="185" t="s">
        <v>4</v>
      </c>
      <c r="V1" s="185"/>
      <c r="W1" s="187" t="s">
        <v>3</v>
      </c>
      <c r="X1" s="185" t="s">
        <v>4</v>
      </c>
      <c r="Y1" s="187" t="s">
        <v>0</v>
      </c>
      <c r="Z1" s="187" t="s">
        <v>1</v>
      </c>
      <c r="AA1" s="185" t="s">
        <v>5</v>
      </c>
      <c r="AB1" s="185" t="s">
        <v>5</v>
      </c>
      <c r="AC1" s="188"/>
      <c r="AD1" s="185" t="s">
        <v>5</v>
      </c>
    </row>
    <row r="2" spans="1:38" x14ac:dyDescent="0.25">
      <c r="A2" s="183" t="str">
        <f>Q2</f>
        <v>RBEJ5</v>
      </c>
      <c r="B2" s="183" t="str">
        <f>RTD("cqg.rtd", ,"ContractData",A2, "ContractMonth")</f>
        <v>APR</v>
      </c>
      <c r="C2" s="189" t="str">
        <f>IF(B2="Jan","F",IF(B2="Feb","G",IF(B2="Mar","H",IF(B2="Apr","J",IF(B2="May","K",IF(B2="JUN","M",IF(B2="Jul","N",IF(B2="Aug","Q",IF(B2="Sep","U",IF(B2="Oct","V",IF(B2="Nov","X",IF(B2="Dec","Z"))))))))))))</f>
        <v>J</v>
      </c>
      <c r="D2" s="184" t="str">
        <f>$Q$1&amp;$C$1&amp;$D$1&amp;$C2</f>
        <v>RBES1J</v>
      </c>
      <c r="E2" s="184" t="str">
        <f>$Q$1&amp;$C$1&amp;$D$1&amp;$C3</f>
        <v>RBES1K</v>
      </c>
      <c r="F2" s="184" t="str">
        <f>$Q$1&amp;$C$1&amp;$D$1&amp;$C4</f>
        <v>RBES1M</v>
      </c>
      <c r="G2" s="184" t="str">
        <f>$Q$1&amp;$C$1&amp;$D$1&amp;$C5</f>
        <v>RBES1N</v>
      </c>
      <c r="H2" s="184" t="str">
        <f>$Q$1&amp;$C$1&amp;$D$1&amp;$C6</f>
        <v>RBES1Q</v>
      </c>
      <c r="I2" s="184" t="str">
        <f>$Q$1&amp;$C$1&amp;$D$1&amp;$C7</f>
        <v>RBES1U</v>
      </c>
      <c r="J2" s="184" t="str">
        <f>$Q$1&amp;$C$1&amp;$D$1&amp;$C8</f>
        <v>RBES1V</v>
      </c>
      <c r="K2" s="184" t="str">
        <f>$Q$1&amp;$C$1&amp;$D$1&amp;$C9</f>
        <v>RBES1X</v>
      </c>
      <c r="L2" s="184" t="str">
        <f>$Q$1&amp;$C$1&amp;$D$1&amp;$C10</f>
        <v>RBES1Z</v>
      </c>
      <c r="M2" s="184" t="str">
        <f>$Q$1&amp;$C$1&amp;$D$1&amp;$C11</f>
        <v>RBES1F</v>
      </c>
      <c r="N2" s="184" t="str">
        <f>$Q$1&amp;$C$1&amp;$D$1&amp;$C12</f>
        <v>RBES1G</v>
      </c>
      <c r="O2" s="184" t="str">
        <f>$Q$1&amp;$C$1&amp;$D$1&amp;$C13</f>
        <v>RBES1H</v>
      </c>
      <c r="P2" s="185" t="str">
        <f>LEFT(RIGHT(Q2,2),1)</f>
        <v>J</v>
      </c>
      <c r="Q2" s="190" t="str">
        <f>RTD("cqg.rtd", ,"ContractData", $Q$1&amp;"?"&amp;R35, "Symbol")</f>
        <v>RBEJ5</v>
      </c>
      <c r="R2" s="188">
        <f>RTD("cqg.rtd", ,"ContractData", Q2, $R$1,,"T")</f>
        <v>1.8883000000000001</v>
      </c>
      <c r="S2" s="188">
        <f>RTD("cqg.rtd", ,"ContractData", Q2,$S$1,,"T")</f>
        <v>1.8883000000000001</v>
      </c>
      <c r="T2" s="188">
        <f>RTD("cqg.rtd", ,"ContractData", Q2,$T$1,,"T")</f>
        <v>1.8888</v>
      </c>
      <c r="U2" s="188">
        <f>RTD("cqg.rtd", ,"ContractData", "F."&amp;$Q$1&amp;"?1", $U$1,,"T")</f>
        <v>-3.6900000000000002E-2</v>
      </c>
      <c r="V2" s="185" t="str">
        <f>D2</f>
        <v>RBES1J</v>
      </c>
      <c r="W2" s="188">
        <f>RTD("cqg.rtd", ,"ContractData", V2, $W$1,,"T")</f>
        <v>-3.5000000000000001E-3</v>
      </c>
      <c r="X2" s="188">
        <f>RTD("cqg.rtd", ,"ContractData", V2, $X$1,,"T")</f>
        <v>-7.3000000000000001E-3</v>
      </c>
      <c r="Y2" s="188">
        <f>RTD("cqg.rtd", ,"ContractData",V2,$Y$1,,"T")</f>
        <v>-3.5000000000000001E-3</v>
      </c>
      <c r="Z2" s="188">
        <f>RTD("cqg.rtd", ,"ContractData", V2,$Z$1,,"T")</f>
        <v>-3.4000000000000002E-3</v>
      </c>
      <c r="AA2" s="188">
        <f>IF(OR(W2="",W2&lt;Y2,W2&gt;Z2),(Y2+Z2)/2,W2)</f>
        <v>-3.5000000000000001E-3</v>
      </c>
      <c r="AB2" s="188">
        <f t="shared" ref="AB2:AB7" si="0">IF(OR(S2="",T2=""),R2,(IF(OR(R2="",R2&lt;S2,R2&gt;T2),(S2+T2)/2,R2)))</f>
        <v>1.8883000000000001</v>
      </c>
      <c r="AC2" s="188">
        <f>IF(OR(R2="",R2&lt;S2,R2&gt;T2),(S2+T2)/2,R2)</f>
        <v>1.8883000000000001</v>
      </c>
      <c r="AD2" s="188">
        <f>IF(OR(Y2="",Z2=""),W2,(IF(OR(W2="",W2&lt;Y2,W2&gt;Z2),(Y2+Z2)/2,W2)))</f>
        <v>-3.5000000000000001E-3</v>
      </c>
      <c r="AF2" s="184">
        <f>IF(ISERROR(AC2),NA(),AC2)</f>
        <v>1.8883000000000001</v>
      </c>
      <c r="AG2" s="184">
        <f>IF(AD2="",NA(),AD2)</f>
        <v>-3.5000000000000001E-3</v>
      </c>
      <c r="AH2" s="184" t="str">
        <f>IF(P2="F","JAN",IF(P2="G","FEB",IF(P2="H","MAR",IF(P2="J","APR",IF(P2="K","MAY",IF(P2="M","JUN",IF(P2="N","JUL",IF(P2="Q","AUG",IF(P2="U","SEP",IF(P2="V","OCT",IF(P2="X","NOV",IF(P2="Z","DEC",))))))))))))</f>
        <v>APR</v>
      </c>
      <c r="AI2" s="184" t="str">
        <f>$AH$2&amp;", "&amp;AH3</f>
        <v>APR, MAY</v>
      </c>
      <c r="AJ2" s="184">
        <f>RTD("cqg.rtd", ,"ContractData",Q2, "Settlement",,"T")</f>
        <v>1.9257000000000002</v>
      </c>
      <c r="AK2" s="184">
        <f>RTD("cqg.rtd", ,"ContractData",V2, "Settlement",,"T")</f>
        <v>3.8E-3</v>
      </c>
      <c r="AL2" s="184">
        <f>IF(AJ2="",NA(),AJ2)</f>
        <v>1.9257000000000002</v>
      </c>
    </row>
    <row r="3" spans="1:38" x14ac:dyDescent="0.25">
      <c r="A3" s="183" t="str">
        <f t="shared" ref="A3:A13" si="1">Q3</f>
        <v>RBEK5</v>
      </c>
      <c r="B3" s="183" t="str">
        <f>RTD("cqg.rtd", ,"ContractData",A3, "ContractMonth")</f>
        <v>MAY</v>
      </c>
      <c r="C3" s="189" t="str">
        <f t="shared" ref="C3:C13" si="2">IF(B3="Jan","F",IF(B3="Feb","G",IF(B3="Mar","H",IF(B3="Apr","J",IF(B3="May","K",IF(B3="JUN","M",IF(B3="Jul","N",IF(B3="Aug","Q",IF(B3="Sep","U",IF(B3="Oct","V",IF(B3="Nov","X",IF(B3="Dec","Z"))))))))))))</f>
        <v>K</v>
      </c>
      <c r="D3" s="184" t="str">
        <f t="shared" ref="D3:D13" si="3">$Q$1&amp;$C$1&amp;$D$1&amp;$C3</f>
        <v>RBES1K</v>
      </c>
      <c r="P3" s="185" t="str">
        <f t="shared" ref="P3:P13" si="4">LEFT(RIGHT(Q3,2),1)</f>
        <v>K</v>
      </c>
      <c r="Q3" s="190" t="str">
        <f>RTD("cqg.rtd", ,"ContractData", $Q$1&amp;"?"&amp;R36, "Symbol")</f>
        <v>RBEK5</v>
      </c>
      <c r="R3" s="188">
        <f>RTD("cqg.rtd", ,"ContractData", Q3, $R$1,,"T")</f>
        <v>1.8917000000000002</v>
      </c>
      <c r="S3" s="188">
        <f>RTD("cqg.rtd", ,"ContractData", Q3,$S$1,,"T")</f>
        <v>1.8917000000000002</v>
      </c>
      <c r="T3" s="188">
        <f>RTD("cqg.rtd", ,"ContractData", Q3,$T$1,,"T")</f>
        <v>1.8923000000000001</v>
      </c>
      <c r="U3" s="188">
        <f>RTD("cqg.rtd", ,"ContractData", "F."&amp;$Q$1&amp;"?2",  $U$1,,"T")</f>
        <v>-2.9600000000000001E-2</v>
      </c>
      <c r="V3" s="185" t="str">
        <f>E2</f>
        <v>RBES1K</v>
      </c>
      <c r="W3" s="188">
        <f>RTD("cqg.rtd", ,"ContractData", V3, $W$1,,"T")</f>
        <v>1.0500000000000001E-2</v>
      </c>
      <c r="X3" s="188">
        <f>RTD("cqg.rtd", ,"ContractData", V3, $X$1,,"T")</f>
        <v>-6.5000000000000006E-3</v>
      </c>
      <c r="Y3" s="188">
        <f>RTD("cqg.rtd", ,"ContractData",V3,$Y$1,,"T")</f>
        <v>1.0400000000000001E-2</v>
      </c>
      <c r="Z3" s="188">
        <f>RTD("cqg.rtd", ,"ContractData", V3,$Z$1,,"T")</f>
        <v>1.0500000000000001E-2</v>
      </c>
      <c r="AA3" s="188">
        <f t="shared" ref="AA3:AA13" si="5">IF(OR(W3="",W3&lt;Y3,W3&gt;Z3),(Y3+Z3)/2,W3)</f>
        <v>1.0500000000000001E-2</v>
      </c>
      <c r="AB3" s="188">
        <f t="shared" si="0"/>
        <v>1.8917000000000002</v>
      </c>
      <c r="AC3" s="188">
        <f>IF(OR(R3="",R3&lt;S3,R3&gt;T3),(S3+T3)/2,R3)</f>
        <v>1.8917000000000002</v>
      </c>
      <c r="AD3" s="188">
        <f t="shared" ref="AD3:AD13" si="6">IF(OR(Y3="",Z3=""),W3,(IF(OR(W3="",W3&lt;Y3,W3&gt;Z3),(Y3+Z3)/2,W3)))</f>
        <v>1.0500000000000001E-2</v>
      </c>
      <c r="AF3" s="184">
        <f t="shared" ref="AF3:AF13" si="7">IF(ISERROR(AC3),NA(),AC3)</f>
        <v>1.8917000000000002</v>
      </c>
      <c r="AG3" s="184">
        <f>IF(AD3="",NA(),AD3)</f>
        <v>1.0500000000000001E-2</v>
      </c>
      <c r="AH3" s="184" t="str">
        <f t="shared" ref="AH3:AH13" si="8">IF(P3="F","JAN",IF(P3="G","FEB",IF(P3="H","MAR",IF(P3="J","APR",IF(P3="K","MAY",IF(P3="M","JUN",IF(P3="N","JUL",IF(P3="Q","AUG",IF(P3="U","SEP",IF(P3="V","OCT",IF(P3="X","NOV",IF(P3="Z","DEC",))))))))))))</f>
        <v>MAY</v>
      </c>
      <c r="AI3" s="184" t="str">
        <f>$AH$3&amp;", "&amp;AH4</f>
        <v>MAY, JUN</v>
      </c>
      <c r="AJ3" s="184">
        <f>RTD("cqg.rtd", ,"ContractData",Q3, "Settlement",,"T")</f>
        <v>1.9219000000000002</v>
      </c>
      <c r="AK3" s="184">
        <f>RTD("cqg.rtd", ,"ContractData",V3, "Settlement",,"T")</f>
        <v>1.7000000000000001E-2</v>
      </c>
      <c r="AL3" s="184">
        <f t="shared" ref="AL3:AL13" si="9">IF(AJ3="",NA(),AJ3)</f>
        <v>1.9219000000000002</v>
      </c>
    </row>
    <row r="4" spans="1:38" x14ac:dyDescent="0.25">
      <c r="A4" s="183" t="str">
        <f t="shared" si="1"/>
        <v>RBEM5</v>
      </c>
      <c r="B4" s="183" t="str">
        <f>RTD("cqg.rtd", ,"ContractData",A4, "ContractMonth")</f>
        <v>JUN</v>
      </c>
      <c r="C4" s="189" t="str">
        <f t="shared" si="2"/>
        <v>M</v>
      </c>
      <c r="D4" s="184" t="str">
        <f t="shared" si="3"/>
        <v>RBES1M</v>
      </c>
      <c r="P4" s="185" t="str">
        <f t="shared" si="4"/>
        <v>M</v>
      </c>
      <c r="Q4" s="190" t="str">
        <f>RTD("cqg.rtd", ,"ContractData", $Q$1&amp;"?"&amp;R37, "Symbol")</f>
        <v>RBEM5</v>
      </c>
      <c r="R4" s="188">
        <f>RTD("cqg.rtd", ,"ContractData", Q4, $R$1,,"T")</f>
        <v>1.8812</v>
      </c>
      <c r="S4" s="188">
        <f>RTD("cqg.rtd", ,"ContractData", Q4,$S$1,,"T")</f>
        <v>1.8812</v>
      </c>
      <c r="T4" s="188">
        <f>RTD("cqg.rtd", ,"ContractData", Q4,$T$1,,"T")</f>
        <v>1.8819000000000001</v>
      </c>
      <c r="U4" s="188">
        <f>RTD("cqg.rtd", ,"ContractData", "F."&amp;$Q$1&amp;"?3",  $U$1,,"T")</f>
        <v>-2.3E-2</v>
      </c>
      <c r="V4" s="185" t="str">
        <f>F2</f>
        <v>RBES1M</v>
      </c>
      <c r="W4" s="188">
        <f>RTD("cqg.rtd", ,"ContractData", V4, $W$1,,"T")</f>
        <v>1.4E-2</v>
      </c>
      <c r="X4" s="188">
        <f>RTD("cqg.rtd", ,"ContractData", V4, $X$1,,"T")</f>
        <v>-3.5000000000000001E-3</v>
      </c>
      <c r="Y4" s="188">
        <f>RTD("cqg.rtd", ,"ContractData",V4,$Y$1,,"T")</f>
        <v>1.4E-2</v>
      </c>
      <c r="Z4" s="188">
        <f>RTD("cqg.rtd", ,"ContractData", V4,$Z$1,,"T")</f>
        <v>1.4100000000000001E-2</v>
      </c>
      <c r="AA4" s="188">
        <f t="shared" si="5"/>
        <v>1.4E-2</v>
      </c>
      <c r="AB4" s="188">
        <f t="shared" si="0"/>
        <v>1.8812</v>
      </c>
      <c r="AC4" s="188">
        <f t="shared" ref="AC4:AC13" si="10">IF(OR(R4="",R4&lt;S4,R4&gt;T4),(S4+T4)/2,R4)</f>
        <v>1.8812</v>
      </c>
      <c r="AD4" s="188">
        <f t="shared" si="6"/>
        <v>1.4E-2</v>
      </c>
      <c r="AF4" s="184">
        <f t="shared" si="7"/>
        <v>1.8812</v>
      </c>
      <c r="AG4" s="184">
        <f>IF(AD4="",NA(),AD4)</f>
        <v>1.4E-2</v>
      </c>
      <c r="AH4" s="184" t="str">
        <f t="shared" si="8"/>
        <v>JUN</v>
      </c>
      <c r="AI4" s="184" t="str">
        <f>$AH$4&amp;", "&amp;AH5</f>
        <v>JUN, JUL</v>
      </c>
      <c r="AJ4" s="184">
        <f>RTD("cqg.rtd", ,"ContractData",Q4, "Settlement",,"T")</f>
        <v>1.9049</v>
      </c>
      <c r="AK4" s="184">
        <f>RTD("cqg.rtd", ,"ContractData",V4, "Settlement",,"T")</f>
        <v>1.7500000000000002E-2</v>
      </c>
      <c r="AL4" s="184">
        <f t="shared" si="9"/>
        <v>1.9049</v>
      </c>
    </row>
    <row r="5" spans="1:38" x14ac:dyDescent="0.25">
      <c r="A5" s="183" t="str">
        <f t="shared" si="1"/>
        <v>RBEN5</v>
      </c>
      <c r="B5" s="183" t="str">
        <f>RTD("cqg.rtd", ,"ContractData",A5, "ContractMonth")</f>
        <v>JUL</v>
      </c>
      <c r="C5" s="189" t="str">
        <f t="shared" si="2"/>
        <v>N</v>
      </c>
      <c r="D5" s="184" t="str">
        <f t="shared" si="3"/>
        <v>RBES1N</v>
      </c>
      <c r="P5" s="185" t="str">
        <f t="shared" si="4"/>
        <v>N</v>
      </c>
      <c r="Q5" s="190" t="str">
        <f>RTD("cqg.rtd", ,"ContractData", $Q$1&amp;"?"&amp;R38, "Symbol")</f>
        <v>RBEN5</v>
      </c>
      <c r="R5" s="188">
        <f>RTD("cqg.rtd", ,"ContractData", Q5, $R$1,,"T")</f>
        <v>1.8664000000000001</v>
      </c>
      <c r="S5" s="188">
        <f>RTD("cqg.rtd", ,"ContractData", Q5,$S$1,,"T")</f>
        <v>1.8671</v>
      </c>
      <c r="T5" s="188">
        <f>RTD("cqg.rtd", ,"ContractData", Q5,$T$1,,"T")</f>
        <v>1.8680000000000001</v>
      </c>
      <c r="U5" s="188">
        <f>RTD("cqg.rtd", ,"ContractData", "F."&amp;$Q$1&amp;"?4",  $U$1,,"T")</f>
        <v>-1.9400000000000001E-2</v>
      </c>
      <c r="V5" s="185" t="str">
        <f>G2</f>
        <v>RBES1N</v>
      </c>
      <c r="W5" s="188">
        <f>RTD("cqg.rtd", ,"ContractData", V5, $W$1,,"T")</f>
        <v>1.6900000000000002E-2</v>
      </c>
      <c r="X5" s="188">
        <f>RTD("cqg.rtd", ,"ContractData", V5, $X$1,,"T")</f>
        <v>-1.5E-3</v>
      </c>
      <c r="Y5" s="188">
        <f>RTD("cqg.rtd", ,"ContractData",V5,$Y$1,,"T")</f>
        <v>1.6800000000000002E-2</v>
      </c>
      <c r="Z5" s="188">
        <f>RTD("cqg.rtd", ,"ContractData", V5,$Z$1,,"T")</f>
        <v>1.6900000000000002E-2</v>
      </c>
      <c r="AA5" s="188">
        <f t="shared" si="5"/>
        <v>1.6900000000000002E-2</v>
      </c>
      <c r="AB5" s="188">
        <f t="shared" si="0"/>
        <v>1.86755</v>
      </c>
      <c r="AC5" s="188">
        <f t="shared" si="10"/>
        <v>1.86755</v>
      </c>
      <c r="AD5" s="188">
        <f t="shared" si="6"/>
        <v>1.6900000000000002E-2</v>
      </c>
      <c r="AF5" s="184">
        <f t="shared" si="7"/>
        <v>1.86755</v>
      </c>
      <c r="AG5" s="184">
        <f t="shared" ref="AG5:AG13" si="11">IF(AD5="",NA(),AD5)</f>
        <v>1.6900000000000002E-2</v>
      </c>
      <c r="AH5" s="184" t="str">
        <f t="shared" si="8"/>
        <v>JUL</v>
      </c>
      <c r="AI5" s="184" t="str">
        <f>$AH$5&amp;", "&amp;AH6</f>
        <v>JUL, AUG</v>
      </c>
      <c r="AJ5" s="184">
        <f>RTD("cqg.rtd", ,"ContractData",Q5, "Settlement",,"T")</f>
        <v>1.8874000000000002</v>
      </c>
      <c r="AK5" s="184">
        <f>RTD("cqg.rtd", ,"ContractData",V5, "Settlement",,"T")</f>
        <v>1.84E-2</v>
      </c>
      <c r="AL5" s="184">
        <f t="shared" si="9"/>
        <v>1.8874000000000002</v>
      </c>
    </row>
    <row r="6" spans="1:38" x14ac:dyDescent="0.25">
      <c r="A6" s="183" t="str">
        <f t="shared" si="1"/>
        <v>RBEQ5</v>
      </c>
      <c r="B6" s="183" t="str">
        <f>RTD("cqg.rtd", ,"ContractData",A6, "ContractMonth")</f>
        <v>AUG</v>
      </c>
      <c r="C6" s="189" t="str">
        <f t="shared" si="2"/>
        <v>Q</v>
      </c>
      <c r="D6" s="184" t="str">
        <f t="shared" si="3"/>
        <v>RBES1Q</v>
      </c>
      <c r="P6" s="185" t="str">
        <f t="shared" si="4"/>
        <v>Q</v>
      </c>
      <c r="Q6" s="190" t="str">
        <f>RTD("cqg.rtd", ,"ContractData", $Q$1&amp;"?"&amp;R39, "Symbol")</f>
        <v>RBEQ5</v>
      </c>
      <c r="R6" s="188">
        <f>RTD("cqg.rtd", ,"ContractData", Q6, $R$1,,"T")</f>
        <v>1.8525</v>
      </c>
      <c r="S6" s="188">
        <f>RTD("cqg.rtd", ,"ContractData", Q6,$S$1,,"T")</f>
        <v>1.8502000000000001</v>
      </c>
      <c r="T6" s="188">
        <f>RTD("cqg.rtd", ,"ContractData", Q6,$T$1,,"T")</f>
        <v>1.8511000000000002</v>
      </c>
      <c r="U6" s="188">
        <f>RTD("cqg.rtd", ,"ContractData", "F."&amp;$Q$1&amp;"?5",  $U$1,,"T")</f>
        <v>-1.7899999999999999E-2</v>
      </c>
      <c r="V6" s="185" t="str">
        <f>H2</f>
        <v>RBES1Q</v>
      </c>
      <c r="W6" s="188">
        <f>RTD("cqg.rtd", ,"ContractData", V6, $W$1,,"T")</f>
        <v>2.24E-2</v>
      </c>
      <c r="X6" s="188">
        <f>RTD("cqg.rtd", ,"ContractData", V6, $X$1,,"T")</f>
        <v>-1.1000000000000001E-3</v>
      </c>
      <c r="Y6" s="188">
        <f>RTD("cqg.rtd", ,"ContractData",V6,$Y$1,,"T")</f>
        <v>2.23E-2</v>
      </c>
      <c r="Z6" s="188">
        <f>RTD("cqg.rtd", ,"ContractData", V6,$Z$1,,"T")</f>
        <v>2.24E-2</v>
      </c>
      <c r="AA6" s="188">
        <f t="shared" si="5"/>
        <v>2.24E-2</v>
      </c>
      <c r="AB6" s="188">
        <f t="shared" si="0"/>
        <v>1.8506500000000001</v>
      </c>
      <c r="AC6" s="188">
        <f t="shared" si="10"/>
        <v>1.8506500000000001</v>
      </c>
      <c r="AD6" s="188">
        <f t="shared" si="6"/>
        <v>2.24E-2</v>
      </c>
      <c r="AF6" s="184">
        <f t="shared" si="7"/>
        <v>1.8506500000000001</v>
      </c>
      <c r="AG6" s="184">
        <f t="shared" si="11"/>
        <v>2.24E-2</v>
      </c>
      <c r="AH6" s="184" t="str">
        <f t="shared" si="8"/>
        <v>AUG</v>
      </c>
      <c r="AI6" s="184" t="str">
        <f>$AH$6&amp;", "&amp;AH7</f>
        <v>AUG, SEP</v>
      </c>
      <c r="AJ6" s="184">
        <f>RTD("cqg.rtd", ,"ContractData",Q6, "Settlement",,"T")</f>
        <v>1.869</v>
      </c>
      <c r="AK6" s="184">
        <f>RTD("cqg.rtd", ,"ContractData",V6, "Settlement",,"T")</f>
        <v>2.35E-2</v>
      </c>
      <c r="AL6" s="184">
        <f t="shared" si="9"/>
        <v>1.869</v>
      </c>
    </row>
    <row r="7" spans="1:38" x14ac:dyDescent="0.25">
      <c r="A7" s="183" t="str">
        <f t="shared" si="1"/>
        <v>RBEU5</v>
      </c>
      <c r="B7" s="183" t="str">
        <f>RTD("cqg.rtd", ,"ContractData",A7, "ContractMonth")</f>
        <v>SEP</v>
      </c>
      <c r="C7" s="189" t="str">
        <f t="shared" si="2"/>
        <v>U</v>
      </c>
      <c r="D7" s="184" t="str">
        <f t="shared" si="3"/>
        <v>RBES1U</v>
      </c>
      <c r="P7" s="185" t="str">
        <f t="shared" si="4"/>
        <v>U</v>
      </c>
      <c r="Q7" s="190" t="str">
        <f>RTD("cqg.rtd", ,"ContractData", $Q$1&amp;"?"&amp;R40, "Symbol")</f>
        <v>RBEU5</v>
      </c>
      <c r="R7" s="188">
        <f>RTD("cqg.rtd", ,"ContractData", Q7, $R$1,,"T")</f>
        <v>1.8275000000000001</v>
      </c>
      <c r="S7" s="188">
        <f>RTD("cqg.rtd", ,"ContractData", Q7,$S$1,,"T")</f>
        <v>1.8278000000000001</v>
      </c>
      <c r="T7" s="188">
        <f>RTD("cqg.rtd", ,"ContractData", Q7,$T$1,,"T")</f>
        <v>1.8289000000000002</v>
      </c>
      <c r="U7" s="188">
        <f>RTD("cqg.rtd", ,"ContractData", "F."&amp;$Q$1&amp;"?6", $U$1,,"T")</f>
        <v>-1.77E-2</v>
      </c>
      <c r="V7" s="185" t="str">
        <f>I2</f>
        <v>RBES1U</v>
      </c>
      <c r="W7" s="188">
        <f>RTD("cqg.rtd", ,"ContractData", V7, $W$1,,"T")</f>
        <v>0.12590000000000001</v>
      </c>
      <c r="X7" s="188">
        <f>RTD("cqg.rtd", ,"ContractData", V7, $X$1,,"T")</f>
        <v>-2.9000000000000002E-3</v>
      </c>
      <c r="Y7" s="188">
        <f>RTD("cqg.rtd", ,"ContractData",V7,$Y$1,,"T")</f>
        <v>0.12590000000000001</v>
      </c>
      <c r="Z7" s="188">
        <f>RTD("cqg.rtd", ,"ContractData", V7,$Z$1,,"T")</f>
        <v>0.126</v>
      </c>
      <c r="AA7" s="188">
        <f t="shared" si="5"/>
        <v>0.12590000000000001</v>
      </c>
      <c r="AB7" s="188">
        <f t="shared" si="0"/>
        <v>1.8283500000000001</v>
      </c>
      <c r="AC7" s="188">
        <f t="shared" si="10"/>
        <v>1.8283500000000001</v>
      </c>
      <c r="AD7" s="188">
        <f t="shared" si="6"/>
        <v>0.12590000000000001</v>
      </c>
      <c r="AF7" s="184">
        <f t="shared" si="7"/>
        <v>1.8283500000000001</v>
      </c>
      <c r="AG7" s="184">
        <f t="shared" si="11"/>
        <v>0.12590000000000001</v>
      </c>
      <c r="AH7" s="184" t="str">
        <f t="shared" si="8"/>
        <v>SEP</v>
      </c>
      <c r="AI7" s="184" t="str">
        <f>$AH$7&amp;", "&amp;AH8</f>
        <v>SEP, OCT</v>
      </c>
      <c r="AJ7" s="184">
        <f>RTD("cqg.rtd", ,"ContractData",Q7, "Settlement",,"T")</f>
        <v>1.8455000000000001</v>
      </c>
      <c r="AK7" s="184">
        <f>RTD("cqg.rtd", ,"ContractData",V7, "Settlement",,"T")</f>
        <v>0.1288</v>
      </c>
      <c r="AL7" s="184">
        <f t="shared" si="9"/>
        <v>1.8455000000000001</v>
      </c>
    </row>
    <row r="8" spans="1:38" x14ac:dyDescent="0.25">
      <c r="A8" s="183" t="str">
        <f t="shared" si="1"/>
        <v>RBEV5</v>
      </c>
      <c r="B8" s="183" t="str">
        <f>RTD("cqg.rtd", ,"ContractData",A8, "ContractMonth")</f>
        <v>OCT</v>
      </c>
      <c r="C8" s="189" t="str">
        <f t="shared" si="2"/>
        <v>V</v>
      </c>
      <c r="D8" s="184" t="str">
        <f t="shared" si="3"/>
        <v>RBES1V</v>
      </c>
      <c r="P8" s="185" t="str">
        <f t="shared" si="4"/>
        <v>V</v>
      </c>
      <c r="Q8" s="190" t="str">
        <f>RTD("cqg.rtd", ,"ContractData", $Q$1&amp;"?"&amp;R41, "Symbol")</f>
        <v>RBEV5</v>
      </c>
      <c r="R8" s="188">
        <f>RTD("cqg.rtd", ,"ContractData", Q8, $R$1,,"T")</f>
        <v>1.7016</v>
      </c>
      <c r="S8" s="188">
        <f>RTD("cqg.rtd", ,"ContractData", Q8,$S$1,,"T")</f>
        <v>1.7018</v>
      </c>
      <c r="T8" s="188">
        <f>RTD("cqg.rtd", ,"ContractData", Q8,$T$1,,"T")</f>
        <v>1.7031000000000001</v>
      </c>
      <c r="U8" s="188">
        <f>RTD("cqg.rtd", ,"ContractData", "F."&amp;$Q$1&amp;"?7", $U$1,,"T")</f>
        <v>-1.3600000000000001E-2</v>
      </c>
      <c r="V8" s="185" t="str">
        <f>J2</f>
        <v>RBES1V</v>
      </c>
      <c r="W8" s="188">
        <f>RTD("cqg.rtd", ,"ContractData", V8, $W$1,,"T")</f>
        <v>2.8300000000000002E-2</v>
      </c>
      <c r="X8" s="188">
        <f>RTD("cqg.rtd", ,"ContractData", V8, $X$1,,"T")</f>
        <v>-1.3000000000000002E-3</v>
      </c>
      <c r="Y8" s="188">
        <f>RTD("cqg.rtd", ,"ContractData",V8,$Y$1,,"T")</f>
        <v>2.8000000000000001E-2</v>
      </c>
      <c r="Z8" s="188">
        <f>RTD("cqg.rtd", ,"ContractData", V8,$Z$1,,"T")</f>
        <v>2.8300000000000002E-2</v>
      </c>
      <c r="AA8" s="188">
        <f t="shared" si="5"/>
        <v>2.8300000000000002E-2</v>
      </c>
      <c r="AB8" s="188">
        <f t="shared" ref="AB8:AB13" si="12">IF(OR(S8="",T8=""),R8,(IF(OR(R8="",R8&lt;S8,R8&gt;T8),(S8+T8)/2,R8)))</f>
        <v>1.70245</v>
      </c>
      <c r="AC8" s="188">
        <f t="shared" si="10"/>
        <v>1.70245</v>
      </c>
      <c r="AD8" s="188">
        <f t="shared" si="6"/>
        <v>2.8300000000000002E-2</v>
      </c>
      <c r="AF8" s="184">
        <f t="shared" si="7"/>
        <v>1.70245</v>
      </c>
      <c r="AG8" s="184">
        <f t="shared" si="11"/>
        <v>2.8300000000000002E-2</v>
      </c>
      <c r="AH8" s="184" t="str">
        <f t="shared" si="8"/>
        <v>OCT</v>
      </c>
      <c r="AI8" s="184" t="str">
        <f>$AH$8&amp;", "&amp;AH9</f>
        <v>OCT, NOV</v>
      </c>
      <c r="AJ8" s="184">
        <f>RTD("cqg.rtd", ,"ContractData",Q8, "Settlement",,"T")</f>
        <v>1.7167000000000001</v>
      </c>
      <c r="AK8" s="184">
        <f>RTD("cqg.rtd", ,"ContractData",V8, "Settlement",,"T")</f>
        <v>2.9600000000000001E-2</v>
      </c>
      <c r="AL8" s="184">
        <f t="shared" si="9"/>
        <v>1.7167000000000001</v>
      </c>
    </row>
    <row r="9" spans="1:38" x14ac:dyDescent="0.25">
      <c r="A9" s="183" t="str">
        <f t="shared" si="1"/>
        <v>RBEX5</v>
      </c>
      <c r="B9" s="183" t="str">
        <f>RTD("cqg.rtd", ,"ContractData",A9, "ContractMonth")</f>
        <v>NOV</v>
      </c>
      <c r="C9" s="189" t="str">
        <f t="shared" si="2"/>
        <v>X</v>
      </c>
      <c r="D9" s="184" t="str">
        <f t="shared" si="3"/>
        <v>RBES1X</v>
      </c>
      <c r="P9" s="185" t="str">
        <f t="shared" si="4"/>
        <v>X</v>
      </c>
      <c r="Q9" s="190" t="str">
        <f>RTD("cqg.rtd", ,"ContractData", $Q$1&amp;"?"&amp;R42, "Symbol")</f>
        <v>RBEX5</v>
      </c>
      <c r="R9" s="188">
        <f>RTD("cqg.rtd", ,"ContractData", Q9, $R$1,,"T")</f>
        <v>1.6757000000000002</v>
      </c>
      <c r="S9" s="188">
        <f>RTD("cqg.rtd", ,"ContractData", Q9,$S$1,,"T")</f>
        <v>1.6737000000000002</v>
      </c>
      <c r="T9" s="188">
        <f>RTD("cqg.rtd", ,"ContractData", Q9,$T$1,,"T")</f>
        <v>1.6748000000000001</v>
      </c>
      <c r="U9" s="188">
        <f>RTD("cqg.rtd", ,"ContractData", "F."&amp;$Q$1&amp;"?8", $U$1,,"T")</f>
        <v>-1.23E-2</v>
      </c>
      <c r="V9" s="185" t="str">
        <f>K2</f>
        <v>RBES1X</v>
      </c>
      <c r="W9" s="188">
        <f>RTD("cqg.rtd", ,"ContractData", V9, $W$1,,"T")</f>
        <v>1.6199999999999999E-2</v>
      </c>
      <c r="X9" s="188">
        <f>RTD("cqg.rtd", ,"ContractData", V9, $X$1,,"T")</f>
        <v>-3.0000000000000003E-4</v>
      </c>
      <c r="Y9" s="188">
        <f>RTD("cqg.rtd", ,"ContractData",V9,$Y$1,,"T")</f>
        <v>1.5900000000000001E-2</v>
      </c>
      <c r="Z9" s="188">
        <f>RTD("cqg.rtd", ,"ContractData", V9,$Z$1,,"T")</f>
        <v>1.6199999999999999E-2</v>
      </c>
      <c r="AA9" s="188">
        <f t="shared" si="5"/>
        <v>1.6199999999999999E-2</v>
      </c>
      <c r="AB9" s="188">
        <f t="shared" si="12"/>
        <v>1.6742500000000002</v>
      </c>
      <c r="AC9" s="188">
        <f t="shared" si="10"/>
        <v>1.6742500000000002</v>
      </c>
      <c r="AD9" s="188">
        <f t="shared" si="6"/>
        <v>1.6199999999999999E-2</v>
      </c>
      <c r="AF9" s="184">
        <f t="shared" si="7"/>
        <v>1.6742500000000002</v>
      </c>
      <c r="AG9" s="184">
        <f t="shared" si="11"/>
        <v>1.6199999999999999E-2</v>
      </c>
      <c r="AH9" s="184" t="str">
        <f t="shared" si="8"/>
        <v>NOV</v>
      </c>
      <c r="AI9" s="184" t="str">
        <f>$AH$9&amp;", "&amp;AH10</f>
        <v>NOV, DEC</v>
      </c>
      <c r="AJ9" s="184">
        <f>RTD("cqg.rtd", ,"ContractData",Q9, "Settlement",,"T")</f>
        <v>1.6871</v>
      </c>
      <c r="AK9" s="184">
        <f>RTD("cqg.rtd", ,"ContractData",V9, "Settlement",,"T")</f>
        <v>1.6500000000000001E-2</v>
      </c>
      <c r="AL9" s="184">
        <f t="shared" si="9"/>
        <v>1.6871</v>
      </c>
    </row>
    <row r="10" spans="1:38" x14ac:dyDescent="0.25">
      <c r="A10" s="183" t="str">
        <f t="shared" si="1"/>
        <v>RBEZ5</v>
      </c>
      <c r="B10" s="183" t="str">
        <f>RTD("cqg.rtd", ,"ContractData",A10, "ContractMonth")</f>
        <v>DEC</v>
      </c>
      <c r="C10" s="189" t="str">
        <f t="shared" si="2"/>
        <v>Z</v>
      </c>
      <c r="D10" s="184" t="str">
        <f t="shared" si="3"/>
        <v>RBES1Z</v>
      </c>
      <c r="P10" s="185" t="str">
        <f t="shared" si="4"/>
        <v>Z</v>
      </c>
      <c r="Q10" s="190" t="str">
        <f>RTD("cqg.rtd", ,"ContractData", $Q$1&amp;"?"&amp;R43, "Symbol")</f>
        <v>RBEZ5</v>
      </c>
      <c r="R10" s="188">
        <f>RTD("cqg.rtd", ,"ContractData", Q10, $R$1,,"T")</f>
        <v>1.6576000000000002</v>
      </c>
      <c r="S10" s="188">
        <f>RTD("cqg.rtd", ,"ContractData", Q10,$S$1,,"T")</f>
        <v>1.6578000000000002</v>
      </c>
      <c r="T10" s="188">
        <f>RTD("cqg.rtd", ,"ContractData", Q10,$T$1,,"T")</f>
        <v>1.6598000000000002</v>
      </c>
      <c r="U10" s="188">
        <f>RTD("cqg.rtd", ,"ContractData", "F."&amp;$Q$1&amp;"?9", $U$1,,"T")</f>
        <v>-1.0800000000000001E-2</v>
      </c>
      <c r="V10" s="185" t="str">
        <f>L2</f>
        <v>RBES1Z</v>
      </c>
      <c r="W10" s="188">
        <f>RTD("cqg.rtd", ,"ContractData", V10, $W$1,,"T")</f>
        <v>-5.1000000000000004E-3</v>
      </c>
      <c r="X10" s="188">
        <f>RTD("cqg.rtd", ,"ContractData", V10, $X$1,,"T")</f>
        <v>1E-4</v>
      </c>
      <c r="Y10" s="188">
        <f>RTD("cqg.rtd", ,"ContractData",V10,$Y$1,,"T")</f>
        <v>-5.5999999999999999E-3</v>
      </c>
      <c r="Z10" s="188">
        <f>RTD("cqg.rtd", ,"ContractData", V10,$Z$1,,"T")</f>
        <v>-5.0000000000000001E-3</v>
      </c>
      <c r="AA10" s="188">
        <f t="shared" si="5"/>
        <v>-5.1000000000000004E-3</v>
      </c>
      <c r="AB10" s="188">
        <f t="shared" si="12"/>
        <v>1.6588000000000003</v>
      </c>
      <c r="AC10" s="188">
        <f t="shared" si="10"/>
        <v>1.6588000000000003</v>
      </c>
      <c r="AD10" s="188">
        <f t="shared" si="6"/>
        <v>-5.1000000000000004E-3</v>
      </c>
      <c r="AF10" s="184">
        <f t="shared" si="7"/>
        <v>1.6588000000000003</v>
      </c>
      <c r="AG10" s="184">
        <f t="shared" si="11"/>
        <v>-5.1000000000000004E-3</v>
      </c>
      <c r="AH10" s="184" t="str">
        <f t="shared" si="8"/>
        <v>DEC</v>
      </c>
      <c r="AI10" s="184" t="str">
        <f>$AH$10&amp;", "&amp;AH11</f>
        <v>DEC, JAN</v>
      </c>
      <c r="AJ10" s="184">
        <f>RTD("cqg.rtd", ,"ContractData",Q10, "Settlement",,"T")</f>
        <v>1.6706000000000001</v>
      </c>
      <c r="AK10" s="184">
        <f>RTD("cqg.rtd", ,"ContractData",V10, "Settlement",,"T")</f>
        <v>-5.1000000000000004E-3</v>
      </c>
      <c r="AL10" s="184">
        <f t="shared" si="9"/>
        <v>1.6706000000000001</v>
      </c>
    </row>
    <row r="11" spans="1:38" x14ac:dyDescent="0.25">
      <c r="A11" s="183" t="str">
        <f t="shared" si="1"/>
        <v>RBEF6</v>
      </c>
      <c r="B11" s="183" t="str">
        <f>RTD("cqg.rtd", ,"ContractData",A11, "ContractMonth")</f>
        <v>JAN</v>
      </c>
      <c r="C11" s="189" t="str">
        <f t="shared" si="2"/>
        <v>F</v>
      </c>
      <c r="D11" s="184" t="str">
        <f t="shared" si="3"/>
        <v>RBES1F</v>
      </c>
      <c r="P11" s="185" t="str">
        <f t="shared" si="4"/>
        <v>F</v>
      </c>
      <c r="Q11" s="190" t="str">
        <f>RTD("cqg.rtd", ,"ContractData", $Q$1&amp;"?"&amp;R44, "Symbol")</f>
        <v>RBEF6</v>
      </c>
      <c r="R11" s="188">
        <f>RTD("cqg.rtd", ,"ContractData", Q11, $R$1,,"T")</f>
        <v>1.665</v>
      </c>
      <c r="S11" s="188">
        <f>RTD("cqg.rtd", ,"ContractData", Q11,$S$1,,"T")</f>
        <v>1.6628000000000001</v>
      </c>
      <c r="T11" s="188">
        <f>RTD("cqg.rtd", ,"ContractData", Q11,$T$1,,"T")</f>
        <v>1.6649</v>
      </c>
      <c r="U11" s="188">
        <f>RTD("cqg.rtd", ,"ContractData", "F."&amp;$Q$1&amp;"?10", $U$1,,"T")</f>
        <v>-1.0800000000000001E-2</v>
      </c>
      <c r="V11" s="185" t="str">
        <f>M2</f>
        <v>RBES1F</v>
      </c>
      <c r="W11" s="188">
        <f>RTD("cqg.rtd", ,"ContractData", V11, $W$1,,"T")</f>
        <v>-1.7400000000000002E-2</v>
      </c>
      <c r="X11" s="188">
        <f>RTD("cqg.rtd", ,"ContractData", V11, $X$1,,"T")</f>
        <v>-1.5E-3</v>
      </c>
      <c r="Y11" s="188">
        <f>RTD("cqg.rtd", ,"ContractData",V11,$Y$1,,"T")</f>
        <v>-1.8800000000000001E-2</v>
      </c>
      <c r="Z11" s="188">
        <f>RTD("cqg.rtd", ,"ContractData", V11,$Z$1,,"T")</f>
        <v>-1.77E-2</v>
      </c>
      <c r="AA11" s="188">
        <f t="shared" si="5"/>
        <v>-1.8250000000000002E-2</v>
      </c>
      <c r="AB11" s="188">
        <f t="shared" si="12"/>
        <v>1.6638500000000001</v>
      </c>
      <c r="AC11" s="188">
        <f t="shared" si="10"/>
        <v>1.6638500000000001</v>
      </c>
      <c r="AD11" s="188">
        <f t="shared" si="6"/>
        <v>-1.8250000000000002E-2</v>
      </c>
      <c r="AF11" s="184">
        <f t="shared" si="7"/>
        <v>1.6638500000000001</v>
      </c>
      <c r="AG11" s="184">
        <f t="shared" si="11"/>
        <v>-1.8250000000000002E-2</v>
      </c>
      <c r="AH11" s="184" t="str">
        <f t="shared" si="8"/>
        <v>JAN</v>
      </c>
      <c r="AI11" s="184" t="str">
        <f>$AH$11&amp;", "&amp;AH12</f>
        <v>JAN, FEB</v>
      </c>
      <c r="AJ11" s="184">
        <f>RTD("cqg.rtd", ,"ContractData",Q11, "Settlement",,"T")</f>
        <v>1.6757000000000002</v>
      </c>
      <c r="AK11" s="184">
        <f>RTD("cqg.rtd", ,"ContractData",V11, "Settlement",,"T")</f>
        <v>-1.7299999999999999E-2</v>
      </c>
      <c r="AL11" s="184">
        <f t="shared" si="9"/>
        <v>1.6757000000000002</v>
      </c>
    </row>
    <row r="12" spans="1:38" x14ac:dyDescent="0.25">
      <c r="A12" s="183" t="str">
        <f t="shared" si="1"/>
        <v>RBEG6</v>
      </c>
      <c r="B12" s="183" t="str">
        <f>RTD("cqg.rtd", ,"ContractData",A12, "ContractMonth")</f>
        <v>FEB</v>
      </c>
      <c r="C12" s="189" t="str">
        <f t="shared" si="2"/>
        <v>G</v>
      </c>
      <c r="D12" s="184" t="str">
        <f t="shared" si="3"/>
        <v>RBES1G</v>
      </c>
      <c r="P12" s="185" t="str">
        <f t="shared" si="4"/>
        <v>G</v>
      </c>
      <c r="Q12" s="190" t="str">
        <f>RTD("cqg.rtd", ,"ContractData", $Q$1&amp;"?"&amp;R45, "Symbol")</f>
        <v>RBEG6</v>
      </c>
      <c r="R12" s="188" t="str">
        <f>RTD("cqg.rtd", ,"ContractData", Q12, $R$1,,"T")</f>
        <v/>
      </c>
      <c r="S12" s="188">
        <f>RTD("cqg.rtd", ,"ContractData", Q12,$S$1,,"T")</f>
        <v>1.6793</v>
      </c>
      <c r="T12" s="188">
        <f>RTD("cqg.rtd", ,"ContractData", Q12,$T$1,,"T")</f>
        <v>1.6837</v>
      </c>
      <c r="U12" s="188">
        <f>RTD("cqg.rtd", ,"ContractData", "F."&amp;$Q$1&amp;"?11",$U$1,,"T")</f>
        <v>-9.300000000000001E-3</v>
      </c>
      <c r="V12" s="185" t="str">
        <f>N2</f>
        <v>RBES1G</v>
      </c>
      <c r="W12" s="188" t="str">
        <f>RTD("cqg.rtd", ,"ContractData", V12, $W$1,,"T")</f>
        <v/>
      </c>
      <c r="X12" s="188">
        <f>RTD("cqg.rtd", ,"ContractData", V12, $X$1,,"T")</f>
        <v>-1.4E-3</v>
      </c>
      <c r="Y12" s="188">
        <f>RTD("cqg.rtd", ,"ContractData",V12,$Y$1,,"T")</f>
        <v>-2.7400000000000001E-2</v>
      </c>
      <c r="Z12" s="188">
        <f>RTD("cqg.rtd", ,"ContractData", V12,$Z$1,,"T")</f>
        <v>-2.63E-2</v>
      </c>
      <c r="AA12" s="188">
        <f t="shared" si="5"/>
        <v>-2.6849999999999999E-2</v>
      </c>
      <c r="AB12" s="188">
        <f t="shared" si="12"/>
        <v>1.6815</v>
      </c>
      <c r="AC12" s="188">
        <f t="shared" si="10"/>
        <v>1.6815</v>
      </c>
      <c r="AD12" s="188">
        <f t="shared" si="6"/>
        <v>-2.6849999999999999E-2</v>
      </c>
      <c r="AF12" s="184">
        <f t="shared" si="7"/>
        <v>1.6815</v>
      </c>
      <c r="AG12" s="184">
        <f t="shared" si="11"/>
        <v>-2.6849999999999999E-2</v>
      </c>
      <c r="AH12" s="184" t="str">
        <f t="shared" si="8"/>
        <v>FEB</v>
      </c>
      <c r="AI12" s="184" t="str">
        <f>$AH$12&amp;", "&amp;AH13</f>
        <v>FEB, MAR</v>
      </c>
      <c r="AJ12" s="184">
        <f>RTD("cqg.rtd", ,"ContractData",Q12, "Settlement",,"T")</f>
        <v>1.6930000000000001</v>
      </c>
      <c r="AK12" s="184">
        <f>RTD("cqg.rtd", ,"ContractData",V12, "Settlement",,"T")</f>
        <v>-2.6000000000000002E-2</v>
      </c>
      <c r="AL12" s="184">
        <f t="shared" si="9"/>
        <v>1.6930000000000001</v>
      </c>
    </row>
    <row r="13" spans="1:38" x14ac:dyDescent="0.25">
      <c r="A13" s="183" t="str">
        <f t="shared" si="1"/>
        <v>RBEH6</v>
      </c>
      <c r="B13" s="183" t="str">
        <f>RTD("cqg.rtd", ,"ContractData",A13, "ContractMonth")</f>
        <v>MAR</v>
      </c>
      <c r="C13" s="189" t="str">
        <f t="shared" si="2"/>
        <v>H</v>
      </c>
      <c r="D13" s="184" t="str">
        <f t="shared" si="3"/>
        <v>RBES1H</v>
      </c>
      <c r="P13" s="185" t="str">
        <f t="shared" si="4"/>
        <v>H</v>
      </c>
      <c r="Q13" s="190" t="str">
        <f>RTD("cqg.rtd", ,"ContractData", $Q$1&amp;"?"&amp;R46, "Symbol")</f>
        <v>RBEH6</v>
      </c>
      <c r="R13" s="188" t="str">
        <f>RTD("cqg.rtd", ,"ContractData", Q13, $R$1,,"T")</f>
        <v/>
      </c>
      <c r="S13" s="188">
        <f>RTD("cqg.rtd", ,"ContractData", Q13,$S$1,,"T")</f>
        <v>1.7050000000000001</v>
      </c>
      <c r="T13" s="188">
        <f>RTD("cqg.rtd", ,"ContractData", Q13,$T$1,,"T")</f>
        <v>1.7121000000000002</v>
      </c>
      <c r="U13" s="188">
        <f>RTD("cqg.rtd", ,"ContractData", "F."&amp;$Q$1&amp;"?12",$U$1,,"T")</f>
        <v>-6.9000000000000008E-3</v>
      </c>
      <c r="V13" s="185" t="str">
        <f>O2</f>
        <v>RBES1H</v>
      </c>
      <c r="W13" s="188">
        <f>RTD("cqg.rtd", ,"ContractData", V13, $W$1,,"T")</f>
        <v>-0.2</v>
      </c>
      <c r="X13" s="188">
        <f>RTD("cqg.rtd", ,"ContractData", V13, $X$1,,"T")</f>
        <v>-6.9999999999999999E-4</v>
      </c>
      <c r="Y13" s="188">
        <f>RTD("cqg.rtd", ,"ContractData",V13,$Y$1,,"T")</f>
        <v>-0.2</v>
      </c>
      <c r="Z13" s="188">
        <f>RTD("cqg.rtd", ,"ContractData", V13,$Z$1,,"T")</f>
        <v>-0.19920000000000002</v>
      </c>
      <c r="AA13" s="188">
        <f t="shared" si="5"/>
        <v>-0.2</v>
      </c>
      <c r="AB13" s="188">
        <f t="shared" si="12"/>
        <v>1.7085500000000002</v>
      </c>
      <c r="AC13" s="188">
        <f t="shared" si="10"/>
        <v>1.7085500000000002</v>
      </c>
      <c r="AD13" s="188">
        <f t="shared" si="6"/>
        <v>-0.2</v>
      </c>
      <c r="AF13" s="184">
        <f t="shared" si="7"/>
        <v>1.7085500000000002</v>
      </c>
      <c r="AG13" s="184">
        <f t="shared" si="11"/>
        <v>-0.2</v>
      </c>
      <c r="AH13" s="184" t="str">
        <f t="shared" si="8"/>
        <v>MAR</v>
      </c>
      <c r="AJ13" s="184">
        <f>RTD("cqg.rtd", ,"ContractData",Q13, "Settlement",,"T")</f>
        <v>1.7190000000000001</v>
      </c>
      <c r="AK13" s="184">
        <f>RTD("cqg.rtd", ,"ContractData",V13, "Settlement",,"T")</f>
        <v>-0.19850000000000001</v>
      </c>
      <c r="AL13" s="184">
        <f t="shared" si="9"/>
        <v>1.7190000000000001</v>
      </c>
    </row>
    <row r="14" spans="1:38" x14ac:dyDescent="0.25"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5"/>
      <c r="AC14" s="185"/>
      <c r="AD14" s="185"/>
    </row>
    <row r="15" spans="1:38" x14ac:dyDescent="0.25">
      <c r="P15" s="185"/>
      <c r="Q15" s="185"/>
      <c r="R15" s="185"/>
      <c r="S15" s="185"/>
      <c r="T15" s="185"/>
      <c r="U15" s="185"/>
    </row>
    <row r="17" spans="20:29" x14ac:dyDescent="0.25">
      <c r="AB17" s="191"/>
      <c r="AC17" s="191"/>
    </row>
    <row r="18" spans="20:29" x14ac:dyDescent="0.25">
      <c r="AB18" s="191"/>
      <c r="AC18" s="191"/>
    </row>
    <row r="19" spans="20:29" x14ac:dyDescent="0.25">
      <c r="AB19" s="191"/>
      <c r="AC19" s="191"/>
    </row>
    <row r="20" spans="20:29" x14ac:dyDescent="0.25">
      <c r="U20" s="192"/>
      <c r="V20" s="192"/>
      <c r="AB20" s="191"/>
      <c r="AC20" s="191"/>
    </row>
    <row r="21" spans="20:29" x14ac:dyDescent="0.25">
      <c r="T21" s="191"/>
      <c r="U21" s="191"/>
      <c r="V21" s="191"/>
      <c r="X21" s="191"/>
      <c r="Y21" s="191"/>
      <c r="Z21" s="191"/>
      <c r="AB21" s="191"/>
      <c r="AC21" s="191"/>
    </row>
    <row r="22" spans="20:29" x14ac:dyDescent="0.25">
      <c r="T22" s="191"/>
      <c r="U22" s="191"/>
      <c r="V22" s="191"/>
      <c r="X22" s="191"/>
      <c r="Y22" s="191"/>
      <c r="Z22" s="191"/>
      <c r="AB22" s="191"/>
      <c r="AC22" s="191"/>
    </row>
    <row r="23" spans="20:29" x14ac:dyDescent="0.25">
      <c r="T23" s="191"/>
      <c r="U23" s="191"/>
      <c r="V23" s="191"/>
      <c r="X23" s="191"/>
      <c r="Y23" s="191"/>
      <c r="Z23" s="191"/>
      <c r="AB23" s="191"/>
      <c r="AC23" s="191"/>
    </row>
    <row r="24" spans="20:29" x14ac:dyDescent="0.25">
      <c r="T24" s="191"/>
      <c r="U24" s="191"/>
      <c r="V24" s="191"/>
      <c r="X24" s="191"/>
      <c r="Y24" s="191"/>
      <c r="Z24" s="191"/>
      <c r="AB24" s="191"/>
      <c r="AC24" s="191"/>
    </row>
    <row r="25" spans="20:29" x14ac:dyDescent="0.25">
      <c r="T25" s="191"/>
      <c r="U25" s="191"/>
      <c r="V25" s="191"/>
      <c r="X25" s="191"/>
      <c r="Y25" s="191"/>
      <c r="Z25" s="191"/>
    </row>
    <row r="26" spans="20:29" x14ac:dyDescent="0.25">
      <c r="T26" s="191"/>
      <c r="U26" s="191"/>
      <c r="V26" s="191"/>
      <c r="X26" s="191"/>
      <c r="Y26" s="191"/>
      <c r="Z26" s="191"/>
    </row>
    <row r="27" spans="20:29" x14ac:dyDescent="0.25">
      <c r="T27" s="191"/>
      <c r="U27" s="191"/>
      <c r="V27" s="191"/>
      <c r="X27" s="191"/>
      <c r="Y27" s="191"/>
      <c r="Z27" s="191"/>
    </row>
    <row r="28" spans="20:29" x14ac:dyDescent="0.25">
      <c r="T28" s="191"/>
      <c r="U28" s="191"/>
      <c r="V28" s="191"/>
      <c r="X28" s="191"/>
      <c r="Y28" s="191"/>
      <c r="Z28" s="191"/>
    </row>
    <row r="29" spans="20:29" x14ac:dyDescent="0.25">
      <c r="T29" s="191"/>
      <c r="U29" s="191"/>
      <c r="V29" s="191"/>
      <c r="X29" s="191"/>
      <c r="Y29" s="191"/>
      <c r="Z29" s="191"/>
    </row>
    <row r="30" spans="20:29" x14ac:dyDescent="0.25">
      <c r="T30" s="191"/>
      <c r="U30" s="191"/>
      <c r="V30" s="191"/>
      <c r="X30" s="191"/>
      <c r="Y30" s="191"/>
      <c r="Z30" s="191"/>
    </row>
    <row r="31" spans="20:29" x14ac:dyDescent="0.25">
      <c r="T31" s="191"/>
      <c r="U31" s="191"/>
      <c r="V31" s="191"/>
      <c r="X31" s="191"/>
      <c r="Y31" s="191"/>
      <c r="Z31" s="191"/>
    </row>
    <row r="32" spans="20:29" x14ac:dyDescent="0.25">
      <c r="T32" s="191"/>
      <c r="U32" s="191"/>
      <c r="V32" s="191"/>
      <c r="X32" s="191"/>
      <c r="Y32" s="191"/>
      <c r="Z32" s="191"/>
    </row>
    <row r="33" spans="18:26" x14ac:dyDescent="0.25">
      <c r="T33" s="191"/>
      <c r="U33" s="191"/>
      <c r="V33" s="191"/>
    </row>
    <row r="34" spans="18:26" x14ac:dyDescent="0.25">
      <c r="R34" s="184" t="s">
        <v>6</v>
      </c>
      <c r="T34" s="191">
        <f xml:space="preserve"> RTD("cqg.rtd",,"StudyData","Consolidate(RBES1?1-RBES1?2,5X,RBES1?1-RBES1?2,1,0)",  "Bar",, "Close", "D",,,,,,"T")</f>
        <v>-1.29E-2</v>
      </c>
      <c r="U34" s="191">
        <f xml:space="preserve"> RTD("cqg.rtd",,"StudyData","Consolidate(RBES1?1-RBES1?2,5X,RBES1?1-RBES1?2,1,0)",  "Bar",, "Close", "D","-1",,,,,"T")</f>
        <v>-1.34E-2</v>
      </c>
      <c r="V34" s="191" t="str">
        <f>RBEDisplay!K41</f>
        <v>APR, MAY, JUN</v>
      </c>
      <c r="W34" s="184" t="s">
        <v>26</v>
      </c>
      <c r="X34" s="191"/>
      <c r="Y34" s="191"/>
      <c r="Z34" s="191"/>
    </row>
    <row r="35" spans="18:26" x14ac:dyDescent="0.25">
      <c r="R35" s="184">
        <f>IF(RTD("cqg.rtd", ,"ContractData",Q1&amp;"?", "ContractMonth")=RTD("cqg.rtd", ,"ContractData",Q1&amp;"?1", "ContractMonth"),1,2)</f>
        <v>1</v>
      </c>
      <c r="S35" s="184" t="str">
        <f>RTD("cqg.rtd",,"ContractData",Q1&amp;"?1", "Symbol")</f>
        <v>RBEJ5</v>
      </c>
      <c r="T35" s="191">
        <f xml:space="preserve"> RTD("cqg.rtd",,"StudyData","Consolidate(RBES1?2-RBES1?3,5X,RBES1?2-RBES1?3,1,0)",  "Bar",, "Close", "D",,,,,,"T")</f>
        <v>-3.7000000000000002E-3</v>
      </c>
      <c r="U35" s="191">
        <f xml:space="preserve"> RTD("cqg.rtd",,"StudyData","Consolidate(RBES1?2-RBES1?3,5X,RBES1?2-RBES1?3,1,0)",  "Bar",, "Close", "D","-1",,,,,"T")</f>
        <v>-1.1999999999999999E-3</v>
      </c>
      <c r="V35" s="191" t="str">
        <f>RBEDisplay!L41</f>
        <v>MAY, JUN, JUL</v>
      </c>
      <c r="W35" s="184" t="s">
        <v>27</v>
      </c>
      <c r="X35" s="191"/>
      <c r="Y35" s="191"/>
      <c r="Z35" s="191"/>
    </row>
    <row r="36" spans="18:26" x14ac:dyDescent="0.25">
      <c r="R36" s="184">
        <f>R35+1</f>
        <v>2</v>
      </c>
      <c r="S36" s="184" t="str">
        <f>RTD("cqg.rtd",,"ContractData",Q1&amp;"?2", "Symbol")</f>
        <v>RBEK5</v>
      </c>
      <c r="T36" s="191">
        <f xml:space="preserve"> RTD("cqg.rtd",,"StudyData","Consolidate(RBES1?3-RBES1?4,5X,RBES1?3-RBES1?4,1,0)",  "Bar",, "Close", "D",,,,,,"T")</f>
        <v>-2.3E-3</v>
      </c>
      <c r="U36" s="191">
        <f xml:space="preserve"> RTD("cqg.rtd",,"StudyData","Consolidate(RBES1?3-RBES1?4,5X,RBES1?3-RBES1?4,1,0)",  "Bar",, "Close","D","-1",,,,,"T")</f>
        <v>-8.9999999999999998E-4</v>
      </c>
      <c r="V36" s="191" t="str">
        <f>RBEDisplay!M41</f>
        <v>JUN, JUL, AUG</v>
      </c>
      <c r="W36" s="184" t="s">
        <v>28</v>
      </c>
      <c r="X36" s="191"/>
      <c r="Y36" s="191"/>
      <c r="Z36" s="191"/>
    </row>
    <row r="37" spans="18:26" x14ac:dyDescent="0.25">
      <c r="R37" s="184">
        <f t="shared" ref="R37:R46" si="13">R36+1</f>
        <v>3</v>
      </c>
      <c r="T37" s="191">
        <f xml:space="preserve"> RTD("cqg.rtd",,"StudyData","Consolidate(RBES1?4-RBES1?5,5X,RBES1?4-RBES1?5,1,0)",  "Bar",, "Close", "D",,,,,,"T")</f>
        <v>-5.4000000000000003E-3</v>
      </c>
      <c r="U37" s="191">
        <f xml:space="preserve"> RTD("cqg.rtd",,"StudyData","Consolidate(RBES1?4-RBES1?5,5X,RBES1?4-RBES1?5,1,0)",  "Bar",, "Close","D","-1",,,,,"T")</f>
        <v>-4.7999999999999996E-3</v>
      </c>
      <c r="V37" s="191" t="str">
        <f>RBEDisplay!N41</f>
        <v>JUL, AUG, SEP</v>
      </c>
      <c r="W37" s="184" t="s">
        <v>29</v>
      </c>
      <c r="X37" s="191"/>
      <c r="Y37" s="191"/>
      <c r="Z37" s="191"/>
    </row>
    <row r="38" spans="18:26" x14ac:dyDescent="0.25">
      <c r="R38" s="184">
        <f t="shared" si="13"/>
        <v>4</v>
      </c>
      <c r="T38" s="191">
        <f xml:space="preserve"> RTD("cqg.rtd",,"StudyData","Consolidate(RBES1?5-RBES1?6,5X,RBES1?5-RBES1?6,1,0)",  "Bar",, "Close", "D",,,,,,"T")</f>
        <v>-0.1037</v>
      </c>
      <c r="U38" s="191">
        <f xml:space="preserve"> RTD("cqg.rtd",,"StudyData","Consolidate(RBES1?5-RBES1?6,5X,RBES1?5-RBES1?6,1,0)",  "Bar",, "Close","D","-1",,,,,"T")</f>
        <v>-0.1055</v>
      </c>
      <c r="V38" s="191" t="str">
        <f>RBEDisplay!O41</f>
        <v>AUG, SEP, OCT</v>
      </c>
      <c r="W38" s="184" t="s">
        <v>30</v>
      </c>
      <c r="X38" s="191"/>
      <c r="Y38" s="191"/>
      <c r="Z38" s="191"/>
    </row>
    <row r="39" spans="18:26" x14ac:dyDescent="0.25">
      <c r="R39" s="184">
        <f t="shared" si="13"/>
        <v>5</v>
      </c>
      <c r="T39" s="191">
        <f xml:space="preserve"> RTD("cqg.rtd",,"StudyData","Consolidate(RBES1?6-RBES1?7,5X,RBES1?6-RBES1?7,1,0)",  "Bar",, "Close", "D",,,,,,"T")</f>
        <v>9.7799999999999998E-2</v>
      </c>
      <c r="U39" s="191">
        <f xml:space="preserve"> RTD("cqg.rtd",,"StudyData","Consolidate(RBES1?6-RBES1?7,5X,RBES1?6-RBES1?7,1,0)",  "Bar",, "Close", "D","-1",,,,,"T")</f>
        <v>9.9599999999999994E-2</v>
      </c>
      <c r="V39" s="191" t="str">
        <f>RBEDisplay!P41</f>
        <v>SEP, OCT, NOV</v>
      </c>
      <c r="W39" s="184" t="s">
        <v>31</v>
      </c>
      <c r="X39" s="191"/>
      <c r="Y39" s="191"/>
      <c r="Z39" s="191"/>
    </row>
    <row r="40" spans="18:26" x14ac:dyDescent="0.25">
      <c r="R40" s="184">
        <f t="shared" si="13"/>
        <v>6</v>
      </c>
      <c r="T40" s="191">
        <f xml:space="preserve"> RTD("cqg.rtd",,"StudyData","Consolidate(RBES1?7-RBES1?8,5X,RBES1?7-RBES1?8,1,0)",  "Bar",, "Close", "D",,,,,,"T")</f>
        <v>1.24E-2</v>
      </c>
      <c r="U40" s="191">
        <f xml:space="preserve"> RTD("cqg.rtd",,"StudyData","Consolidate(RBES1?7-RBES1?8,5X,RBES1?7-RBES1?8,1,0)",  "Bar",, "Close", "D","-1",,,,,"T")</f>
        <v>1.35E-2</v>
      </c>
      <c r="V40" s="191" t="str">
        <f>RBEDisplay!Q41</f>
        <v>OCT, NOV, DEC</v>
      </c>
      <c r="W40" s="184" t="s">
        <v>32</v>
      </c>
      <c r="X40" s="191"/>
      <c r="Y40" s="191"/>
      <c r="Z40" s="191"/>
    </row>
    <row r="41" spans="18:26" x14ac:dyDescent="0.25">
      <c r="R41" s="184">
        <f t="shared" si="13"/>
        <v>7</v>
      </c>
      <c r="T41" s="191">
        <f xml:space="preserve"> RTD("cqg.rtd",,"StudyData","Consolidate(RBES1?8-RBES1?9,5X,RBES1?8-RBES1?9,1,0)",  "Bar",, "Close", "D",,,,,,"T")</f>
        <v>2.1499999999999998E-2</v>
      </c>
      <c r="U41" s="191">
        <f xml:space="preserve"> RTD("cqg.rtd",,"StudyData","Consolidate(RBES1?8-RBES1?9,5X,RBES1?8-RBES1?9,1,0)",  "Bar",, "Close","D","-1",,,,,"T")</f>
        <v>2.1399999999999999E-2</v>
      </c>
      <c r="V41" s="191" t="str">
        <f>RBEDisplay!R41</f>
        <v>NOV, DEC, JAN</v>
      </c>
      <c r="W41" s="184" t="s">
        <v>33</v>
      </c>
      <c r="X41" s="191"/>
      <c r="Y41" s="191"/>
      <c r="Z41" s="191"/>
    </row>
    <row r="42" spans="18:26" x14ac:dyDescent="0.25">
      <c r="R42" s="184">
        <f t="shared" si="13"/>
        <v>8</v>
      </c>
      <c r="T42" s="191">
        <f xml:space="preserve"> RTD("cqg.rtd",,"StudyData","Consolidate(RBES1?9-RBES1?10,5X,RBES1?9-RBES1?10,1,0)",  "Bar",, "Close", "D",,,,,,"T")</f>
        <v>1.1900000000000001E-2</v>
      </c>
      <c r="U42" s="191">
        <f xml:space="preserve"> RTD("cqg.rtd",,"StudyData","Consolidate(RBES1?9-RBES1?10,5X,RBES1?9-RBES1?10,1,0)",  "Bar",, "Close", "D","-1",,,,,"T")</f>
        <v>1.2699999999999999E-2</v>
      </c>
      <c r="V42" s="191" t="str">
        <f>RBEDisplay!S41</f>
        <v>DEC, JAN, FEB</v>
      </c>
      <c r="W42" s="184" t="s">
        <v>34</v>
      </c>
      <c r="X42" s="191"/>
      <c r="Y42" s="191"/>
      <c r="Z42" s="191"/>
    </row>
    <row r="43" spans="18:26" x14ac:dyDescent="0.25">
      <c r="R43" s="184">
        <f t="shared" si="13"/>
        <v>9</v>
      </c>
      <c r="T43" s="191">
        <f xml:space="preserve"> RTD("cqg.rtd",,"StudyData","Consolidate(RBES1?10-RBES1?11,5X,RBES1?10-RBES11?2,1,0)",  "Bar",, "Close", "D",,,,,,"T")</f>
        <v>8.6E-3</v>
      </c>
      <c r="U43" s="191">
        <f xml:space="preserve"> RTD("cqg.rtd",,"StudyData","Consolidate(RBES1?10-RBES1?11,5X,RBES1?10-RBES11?2,1,0)",  "Bar",, "Close", "D","-1",,,,,"T")</f>
        <v>8.3000000000000001E-3</v>
      </c>
      <c r="V43" s="191" t="str">
        <f>RBEDisplay!T41</f>
        <v>JAN, FEB, MAR</v>
      </c>
      <c r="W43" s="184" t="s">
        <v>35</v>
      </c>
      <c r="X43" s="191"/>
      <c r="Y43" s="191"/>
      <c r="Z43" s="191"/>
    </row>
    <row r="44" spans="18:26" x14ac:dyDescent="0.25">
      <c r="R44" s="184">
        <f t="shared" si="13"/>
        <v>10</v>
      </c>
    </row>
    <row r="45" spans="18:26" x14ac:dyDescent="0.25">
      <c r="R45" s="184">
        <f t="shared" si="13"/>
        <v>11</v>
      </c>
    </row>
    <row r="46" spans="18:26" x14ac:dyDescent="0.25">
      <c r="R46" s="184">
        <f t="shared" si="13"/>
        <v>12</v>
      </c>
      <c r="Z46" s="191"/>
    </row>
  </sheetData>
  <sheetProtection algorithmName="SHA-512" hashValue="aAK+3IKg7/hoVX2NGi4nXpjnwDSvMQ9F6hdtXdMd0+Fhn3UIfY7uuVTZNNj77yc0bWS3YT8a7OTwuFZ75Iu4sA==" saltValue="UWaAq7zffJTVETBX1I8hDA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RBEDisplay</vt:lpstr>
      <vt:lpstr>RBE</vt:lpstr>
    </vt:vector>
  </TitlesOfParts>
  <Company>CQG, Inc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2011-05-02T21:38:10Z</dcterms:created>
  <dcterms:modified xsi:type="dcterms:W3CDTF">2015-03-05T16:36:25Z</dcterms:modified>
</cp:coreProperties>
</file>