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016"/>
  </bookViews>
  <sheets>
    <sheet name="CLEDisplay" sheetId="2" r:id="rId1"/>
    <sheet name="CLE" sheetId="6" state="hidden" r:id="rId2"/>
  </sheets>
  <calcPr calcId="152511"/>
</workbook>
</file>

<file path=xl/calcChain.xml><?xml version="1.0" encoding="utf-8"?>
<calcChain xmlns="http://schemas.openxmlformats.org/spreadsheetml/2006/main">
  <c r="U12" i="6" l="1"/>
  <c r="U11" i="6"/>
  <c r="S42" i="2"/>
  <c r="L43" i="2"/>
  <c r="U4" i="6"/>
  <c r="M42" i="2"/>
  <c r="O43" i="2"/>
  <c r="U2" i="6"/>
  <c r="N42" i="2"/>
  <c r="P42" i="2"/>
  <c r="R43" i="2"/>
  <c r="U9" i="6"/>
  <c r="N43" i="2"/>
  <c r="U10" i="6"/>
  <c r="U8" i="6"/>
  <c r="Q43" i="2"/>
  <c r="T43" i="2"/>
  <c r="U13" i="6"/>
  <c r="U5" i="6"/>
  <c r="O42" i="2"/>
  <c r="T42" i="2"/>
  <c r="U6" i="6"/>
  <c r="U7" i="6"/>
  <c r="P43" i="2"/>
  <c r="R42" i="2"/>
  <c r="U3" i="6"/>
  <c r="Q42" i="2"/>
  <c r="M43" i="2"/>
  <c r="K43" i="2"/>
  <c r="K42" i="2"/>
  <c r="S43" i="2"/>
  <c r="L42" i="2"/>
  <c r="F51" i="2"/>
  <c r="M44" i="2"/>
  <c r="F47" i="2"/>
  <c r="E47" i="2"/>
  <c r="I46" i="2"/>
  <c r="H50" i="2"/>
  <c r="E46" i="2"/>
  <c r="H49" i="2"/>
  <c r="T37" i="6"/>
  <c r="G51" i="2"/>
  <c r="E52" i="2"/>
  <c r="G44" i="2"/>
  <c r="H52" i="2"/>
  <c r="I45" i="2"/>
  <c r="I52" i="2"/>
  <c r="K44" i="2"/>
  <c r="U42" i="6"/>
  <c r="G45" i="2"/>
  <c r="T38" i="6"/>
  <c r="G48" i="2"/>
  <c r="B52" i="2"/>
  <c r="A34" i="2"/>
  <c r="B50" i="2"/>
  <c r="A31" i="2"/>
  <c r="B46" i="2"/>
  <c r="A19" i="2"/>
  <c r="A18" i="2"/>
  <c r="A17" i="2"/>
  <c r="A22" i="2"/>
  <c r="A14" i="2"/>
  <c r="F49" i="2"/>
  <c r="H46" i="2"/>
  <c r="I49" i="2"/>
  <c r="U36" i="6"/>
  <c r="I51" i="2"/>
  <c r="H53" i="2"/>
  <c r="I53" i="2"/>
  <c r="U35" i="6"/>
  <c r="L44" i="2"/>
  <c r="I48" i="2"/>
  <c r="A37" i="2"/>
  <c r="A30" i="2"/>
  <c r="B51" i="2"/>
  <c r="A15" i="2"/>
  <c r="U40" i="6"/>
  <c r="T41" i="6"/>
  <c r="U37" i="6"/>
  <c r="U41" i="6"/>
  <c r="I47" i="2"/>
  <c r="I44" i="2"/>
  <c r="T43" i="6"/>
  <c r="E53" i="2"/>
  <c r="F48" i="2"/>
  <c r="E48" i="2"/>
  <c r="A28" i="2"/>
  <c r="B53" i="2"/>
  <c r="A16" i="2"/>
  <c r="S36" i="6"/>
  <c r="T40" i="6"/>
  <c r="E51" i="2"/>
  <c r="U39" i="6"/>
  <c r="E49" i="2"/>
  <c r="T39" i="6"/>
  <c r="F50" i="2"/>
  <c r="G46" i="2"/>
  <c r="G47" i="2"/>
  <c r="G50" i="2"/>
  <c r="I50" i="2"/>
  <c r="T42" i="6"/>
  <c r="F44" i="2"/>
  <c r="S44" i="2"/>
  <c r="T35" i="6"/>
  <c r="G52" i="2"/>
  <c r="F45" i="2"/>
  <c r="F52" i="2"/>
  <c r="U34" i="6"/>
  <c r="H48" i="2"/>
  <c r="B47" i="2"/>
  <c r="A35" i="2"/>
  <c r="B49" i="2"/>
  <c r="A39" i="2"/>
  <c r="A36" i="2"/>
  <c r="A21" i="2"/>
  <c r="S35" i="6"/>
  <c r="R35" i="6"/>
  <c r="F46" i="2"/>
  <c r="Q44" i="2"/>
  <c r="G49" i="2"/>
  <c r="H47" i="2"/>
  <c r="R44" i="2"/>
  <c r="E45" i="2"/>
  <c r="H45" i="2"/>
  <c r="G53" i="2"/>
  <c r="T44" i="2"/>
  <c r="O44" i="2"/>
  <c r="A29" i="2"/>
  <c r="B48" i="2"/>
  <c r="A32" i="2"/>
  <c r="B44" i="2"/>
  <c r="A13" i="2"/>
  <c r="N44" i="2"/>
  <c r="E50" i="2"/>
  <c r="P44" i="2"/>
  <c r="T36" i="6"/>
  <c r="H51" i="2"/>
  <c r="U43" i="6"/>
  <c r="F53" i="2"/>
  <c r="T34" i="6"/>
  <c r="H44" i="2"/>
  <c r="E44" i="2"/>
  <c r="U38" i="6"/>
  <c r="A33" i="2"/>
  <c r="A38" i="2"/>
  <c r="A20" i="2"/>
  <c r="B45" i="2"/>
  <c r="A23" i="2"/>
  <c r="G55" i="2"/>
  <c r="C55" i="2"/>
  <c r="C56" i="2"/>
  <c r="R36" i="6" l="1"/>
  <c r="D28" i="2"/>
  <c r="G39" i="2"/>
  <c r="H33" i="2"/>
  <c r="F30" i="2"/>
  <c r="F34" i="2"/>
  <c r="D35" i="2"/>
  <c r="G32" i="2"/>
  <c r="C29" i="2"/>
  <c r="I32" i="2"/>
  <c r="I29" i="2"/>
  <c r="B32" i="2"/>
  <c r="C38" i="2"/>
  <c r="C33" i="2"/>
  <c r="F36" i="2"/>
  <c r="D20" i="2"/>
  <c r="H36" i="2"/>
  <c r="F21" i="2"/>
  <c r="G28" i="2"/>
  <c r="C19" i="2"/>
  <c r="C34" i="2"/>
  <c r="H39" i="2"/>
  <c r="D37" i="2"/>
  <c r="E39" i="2"/>
  <c r="B30" i="2"/>
  <c r="D31" i="2"/>
  <c r="C30" i="2"/>
  <c r="B39" i="2"/>
  <c r="C32" i="2"/>
  <c r="G36" i="2"/>
  <c r="B19" i="2"/>
  <c r="D23" i="2"/>
  <c r="I18" i="2"/>
  <c r="H22" i="2"/>
  <c r="B14" i="2"/>
  <c r="F22" i="2"/>
  <c r="B16" i="2"/>
  <c r="F23" i="2"/>
  <c r="H17" i="2"/>
  <c r="F13" i="2"/>
  <c r="H15" i="2"/>
  <c r="I13" i="2"/>
  <c r="B13" i="2"/>
  <c r="G23" i="2"/>
  <c r="C18" i="2"/>
  <c r="E23" i="2"/>
  <c r="F31" i="2"/>
  <c r="E32" i="2"/>
  <c r="D39" i="2"/>
  <c r="G20" i="2"/>
  <c r="E35" i="2"/>
  <c r="D29" i="2"/>
  <c r="H37" i="2"/>
  <c r="F38" i="2"/>
  <c r="I19" i="2"/>
  <c r="I31" i="2"/>
  <c r="I22" i="2"/>
  <c r="H18" i="2"/>
  <c r="D14" i="2"/>
  <c r="Q2" i="6"/>
  <c r="D38" i="2"/>
  <c r="H30" i="2"/>
  <c r="E29" i="2"/>
  <c r="H21" i="2"/>
  <c r="G38" i="2"/>
  <c r="I30" i="2"/>
  <c r="E36" i="2"/>
  <c r="I21" i="2"/>
  <c r="D36" i="2"/>
  <c r="G37" i="2"/>
  <c r="B34" i="2"/>
  <c r="D19" i="2"/>
  <c r="B29" i="2"/>
  <c r="C39" i="2"/>
  <c r="C37" i="2"/>
  <c r="E31" i="2"/>
  <c r="D32" i="2"/>
  <c r="E38" i="2"/>
  <c r="G30" i="2"/>
  <c r="I35" i="2"/>
  <c r="F32" i="2"/>
  <c r="C36" i="2"/>
  <c r="E19" i="2"/>
  <c r="B28" i="2"/>
  <c r="C20" i="2"/>
  <c r="E28" i="2"/>
  <c r="I37" i="2"/>
  <c r="H34" i="2"/>
  <c r="H38" i="2"/>
  <c r="H32" i="2"/>
  <c r="E16" i="2"/>
  <c r="B18" i="2"/>
  <c r="C13" i="2"/>
  <c r="I23" i="2"/>
  <c r="G22" i="2"/>
  <c r="C23" i="2"/>
  <c r="C15" i="2"/>
  <c r="B23" i="2"/>
  <c r="I14" i="2"/>
  <c r="C14" i="2"/>
  <c r="B22" i="2"/>
  <c r="E14" i="2"/>
  <c r="I17" i="2"/>
  <c r="D18" i="2"/>
  <c r="F17" i="2"/>
  <c r="D15" i="2"/>
  <c r="H31" i="2"/>
  <c r="I33" i="2"/>
  <c r="C35" i="2"/>
  <c r="G21" i="2"/>
  <c r="I28" i="2"/>
  <c r="F35" i="2"/>
  <c r="F28" i="2"/>
  <c r="B36" i="2"/>
  <c r="E34" i="2"/>
  <c r="B33" i="2"/>
  <c r="G16" i="2"/>
  <c r="C16" i="2"/>
  <c r="I15" i="2"/>
  <c r="H14" i="2"/>
  <c r="H13" i="2"/>
  <c r="E17" i="2"/>
  <c r="I36" i="2"/>
  <c r="F19" i="2"/>
  <c r="I34" i="2"/>
  <c r="F20" i="2"/>
  <c r="H29" i="2"/>
  <c r="G29" i="2"/>
  <c r="F33" i="2"/>
  <c r="C31" i="2"/>
  <c r="E33" i="2"/>
  <c r="B38" i="2"/>
  <c r="D33" i="2"/>
  <c r="D21" i="2"/>
  <c r="D34" i="2"/>
  <c r="I39" i="2"/>
  <c r="D30" i="2"/>
  <c r="H35" i="2"/>
  <c r="H20" i="2"/>
  <c r="G34" i="2"/>
  <c r="B21" i="2"/>
  <c r="G35" i="2"/>
  <c r="B20" i="2"/>
  <c r="C28" i="2"/>
  <c r="I38" i="2"/>
  <c r="F37" i="2"/>
  <c r="F29" i="2"/>
  <c r="E37" i="2"/>
  <c r="H19" i="2"/>
  <c r="H28" i="2"/>
  <c r="B35" i="2"/>
  <c r="E21" i="2"/>
  <c r="G18" i="2"/>
  <c r="D22" i="2"/>
  <c r="B15" i="2"/>
  <c r="E22" i="2"/>
  <c r="H23" i="2"/>
  <c r="C22" i="2"/>
  <c r="E18" i="2"/>
  <c r="H16" i="2"/>
  <c r="C17" i="2"/>
  <c r="E15" i="2"/>
  <c r="G15" i="2"/>
  <c r="F15" i="2"/>
  <c r="G13" i="2"/>
  <c r="I16" i="2"/>
  <c r="G14" i="2"/>
  <c r="D13" i="2"/>
  <c r="F16" i="2"/>
  <c r="B37" i="2"/>
  <c r="F39" i="2"/>
  <c r="E20" i="2"/>
  <c r="G31" i="2"/>
  <c r="C21" i="2"/>
  <c r="G33" i="2"/>
  <c r="G19" i="2"/>
  <c r="E30" i="2"/>
  <c r="I20" i="2"/>
  <c r="B31" i="2"/>
  <c r="D16" i="2"/>
  <c r="B17" i="2"/>
  <c r="F14" i="2"/>
  <c r="E13" i="2"/>
  <c r="G17" i="2"/>
  <c r="F18" i="2"/>
  <c r="D17" i="2"/>
  <c r="P2" i="6" l="1"/>
  <c r="AH2" i="6" s="1"/>
  <c r="A2" i="6"/>
  <c r="AC43" i="2"/>
  <c r="AF43" i="2"/>
  <c r="R37" i="6"/>
  <c r="AD43" i="2"/>
  <c r="S2" i="6"/>
  <c r="R2" i="6"/>
  <c r="T2" i="6"/>
  <c r="Q3" i="6"/>
  <c r="AJ2" i="6"/>
  <c r="B2" i="6"/>
  <c r="J6" i="2"/>
  <c r="AA43" i="2"/>
  <c r="AC2" i="6" l="1"/>
  <c r="AF2" i="6" s="1"/>
  <c r="AB2" i="6"/>
  <c r="AD6" i="2"/>
  <c r="J7" i="2" s="1"/>
  <c r="C2" i="6"/>
  <c r="A3" i="6"/>
  <c r="AC44" i="2"/>
  <c r="P3" i="6"/>
  <c r="AH3" i="6" s="1"/>
  <c r="AF44" i="2"/>
  <c r="AL2" i="6"/>
  <c r="R38" i="6"/>
  <c r="AD44" i="2"/>
  <c r="D7" i="2"/>
  <c r="D9" i="2"/>
  <c r="AJ3" i="6"/>
  <c r="F9" i="2"/>
  <c r="C9" i="2"/>
  <c r="J9" i="2"/>
  <c r="AA44" i="2"/>
  <c r="Q4" i="6"/>
  <c r="B3" i="6"/>
  <c r="K6" i="2"/>
  <c r="H9" i="2"/>
  <c r="J10" i="2"/>
  <c r="J8" i="2"/>
  <c r="S3" i="6"/>
  <c r="C7" i="2"/>
  <c r="R3" i="6"/>
  <c r="T3" i="6"/>
  <c r="B4" i="2"/>
  <c r="AI2" i="6" l="1"/>
  <c r="AE6" i="2"/>
  <c r="K7" i="2" s="1"/>
  <c r="AB3" i="6"/>
  <c r="P4" i="6"/>
  <c r="AH4" i="6" s="1"/>
  <c r="AC45" i="2"/>
  <c r="A4" i="6"/>
  <c r="AL3" i="6"/>
  <c r="AF45" i="2"/>
  <c r="AC3" i="6"/>
  <c r="AF3" i="6" s="1"/>
  <c r="C3" i="6"/>
  <c r="D2" i="6"/>
  <c r="R39" i="6"/>
  <c r="AD45" i="2"/>
  <c r="R4" i="6"/>
  <c r="AA45" i="2"/>
  <c r="S4" i="6"/>
  <c r="T4" i="6"/>
  <c r="K10" i="2"/>
  <c r="K8" i="2"/>
  <c r="L6" i="2"/>
  <c r="Q5" i="6"/>
  <c r="AJ4" i="6"/>
  <c r="K9" i="2"/>
  <c r="B4" i="6"/>
  <c r="K25" i="2" l="1"/>
  <c r="D3" i="6"/>
  <c r="E2" i="6"/>
  <c r="AI3" i="6"/>
  <c r="K12" i="2"/>
  <c r="C4" i="6"/>
  <c r="AC4" i="6"/>
  <c r="AF4" i="6" s="1"/>
  <c r="P5" i="6"/>
  <c r="AH5" i="6" s="1"/>
  <c r="AI4" i="6" s="1"/>
  <c r="AC46" i="2"/>
  <c r="A5" i="6"/>
  <c r="AF46" i="2"/>
  <c r="Y6" i="2"/>
  <c r="AB4" i="6"/>
  <c r="AL4" i="6"/>
  <c r="AF6" i="2"/>
  <c r="L7" i="2" s="1"/>
  <c r="K41" i="2" s="1"/>
  <c r="V34" i="6" s="1"/>
  <c r="R40" i="6"/>
  <c r="V2" i="6"/>
  <c r="AD46" i="2"/>
  <c r="R5" i="6"/>
  <c r="L8" i="2"/>
  <c r="T5" i="6"/>
  <c r="B5" i="6"/>
  <c r="AJ5" i="6"/>
  <c r="AA46" i="2"/>
  <c r="L10" i="2"/>
  <c r="M6" i="2"/>
  <c r="Q6" i="6"/>
  <c r="S5" i="6"/>
  <c r="K11" i="2"/>
  <c r="L9" i="2"/>
  <c r="AF57" i="2" l="1"/>
  <c r="V3" i="6"/>
  <c r="L25" i="2"/>
  <c r="D4" i="6"/>
  <c r="F2" i="6"/>
  <c r="L12" i="2"/>
  <c r="AG6" i="2"/>
  <c r="M7" i="2" s="1"/>
  <c r="AB5" i="6"/>
  <c r="AL5" i="6"/>
  <c r="C5" i="6"/>
  <c r="P6" i="6"/>
  <c r="AH6" i="6" s="1"/>
  <c r="AI5" i="6" s="1"/>
  <c r="A6" i="6"/>
  <c r="AC47" i="2"/>
  <c r="AF47" i="2"/>
  <c r="AC5" i="6"/>
  <c r="AF5" i="6" s="1"/>
  <c r="AC56" i="2"/>
  <c r="R41" i="6"/>
  <c r="AF56" i="2"/>
  <c r="AD57" i="2"/>
  <c r="AD56" i="2"/>
  <c r="AD47" i="2"/>
  <c r="X2" i="6"/>
  <c r="R6" i="6"/>
  <c r="M9" i="2"/>
  <c r="Y2" i="6"/>
  <c r="AK2" i="6"/>
  <c r="Z2" i="6"/>
  <c r="K15" i="2"/>
  <c r="AJ6" i="6"/>
  <c r="W2" i="6"/>
  <c r="T6" i="6"/>
  <c r="K13" i="2"/>
  <c r="M11" i="2"/>
  <c r="L11" i="2"/>
  <c r="K14" i="2"/>
  <c r="S6" i="6"/>
  <c r="N6" i="2"/>
  <c r="AA56" i="2"/>
  <c r="M10" i="2"/>
  <c r="B6" i="6"/>
  <c r="M8" i="2"/>
  <c r="Q7" i="6"/>
  <c r="AA47" i="2"/>
  <c r="X3" i="6"/>
  <c r="AC57" i="2" l="1"/>
  <c r="L41" i="2"/>
  <c r="V35" i="6" s="1"/>
  <c r="K27" i="2"/>
  <c r="K28" i="2"/>
  <c r="K26" i="2"/>
  <c r="M25" i="2"/>
  <c r="D5" i="6"/>
  <c r="G2" i="6"/>
  <c r="V4" i="6"/>
  <c r="M12" i="2"/>
  <c r="AA6" i="2"/>
  <c r="AH6" i="2"/>
  <c r="N7" i="2" s="1"/>
  <c r="M41" i="2" s="1"/>
  <c r="V36" i="6" s="1"/>
  <c r="AL6" i="6"/>
  <c r="AC6" i="6"/>
  <c r="AF6" i="6" s="1"/>
  <c r="A7" i="6"/>
  <c r="P7" i="6"/>
  <c r="AH7" i="6" s="1"/>
  <c r="AI6" i="6" s="1"/>
  <c r="AC48" i="2"/>
  <c r="C6" i="6"/>
  <c r="AF48" i="2"/>
  <c r="AD2" i="6"/>
  <c r="AG2" i="6" s="1"/>
  <c r="AB6" i="6"/>
  <c r="AA2" i="6"/>
  <c r="R42" i="6"/>
  <c r="AD48" i="2"/>
  <c r="O6" i="2"/>
  <c r="N9" i="2"/>
  <c r="AA48" i="2"/>
  <c r="M13" i="2"/>
  <c r="S7" i="6"/>
  <c r="AJ7" i="6"/>
  <c r="L14" i="2"/>
  <c r="Y3" i="6"/>
  <c r="AK3" i="6"/>
  <c r="AA57" i="2"/>
  <c r="T7" i="6"/>
  <c r="B7" i="6"/>
  <c r="Z3" i="6"/>
  <c r="M15" i="2"/>
  <c r="N8" i="2"/>
  <c r="R7" i="6"/>
  <c r="L13" i="2"/>
  <c r="W3" i="6"/>
  <c r="M14" i="2"/>
  <c r="W4" i="6"/>
  <c r="N10" i="2"/>
  <c r="L15" i="2"/>
  <c r="Q8" i="6"/>
  <c r="N11" i="2"/>
  <c r="AA3" i="6" l="1"/>
  <c r="AD3" i="6"/>
  <c r="AG3" i="6" s="1"/>
  <c r="L27" i="2"/>
  <c r="M26" i="2"/>
  <c r="M28" i="2"/>
  <c r="M27" i="2"/>
  <c r="L26" i="2"/>
  <c r="L28" i="2"/>
  <c r="N25" i="2"/>
  <c r="AF58" i="2"/>
  <c r="D6" i="6"/>
  <c r="H2" i="6"/>
  <c r="AC58" i="2"/>
  <c r="V5" i="6"/>
  <c r="N12" i="2"/>
  <c r="C7" i="6"/>
  <c r="AC49" i="2"/>
  <c r="A8" i="6"/>
  <c r="P8" i="6"/>
  <c r="AH8" i="6" s="1"/>
  <c r="AI7" i="6" s="1"/>
  <c r="AB6" i="2"/>
  <c r="AI6" i="2"/>
  <c r="O7" i="2" s="1"/>
  <c r="AB7" i="6"/>
  <c r="AP6" i="2"/>
  <c r="AF49" i="2"/>
  <c r="AC7" i="6"/>
  <c r="AF7" i="6" s="1"/>
  <c r="AL7" i="6"/>
  <c r="R43" i="6"/>
  <c r="AD58" i="2"/>
  <c r="AD49" i="2"/>
  <c r="Y4" i="6"/>
  <c r="T8" i="6"/>
  <c r="O9" i="2"/>
  <c r="S8" i="6"/>
  <c r="X4" i="6"/>
  <c r="N15" i="2"/>
  <c r="AK4" i="6"/>
  <c r="Q9" i="6"/>
  <c r="O8" i="2"/>
  <c r="AA49" i="2"/>
  <c r="AJ8" i="6"/>
  <c r="O11" i="2"/>
  <c r="Z4" i="6"/>
  <c r="O10" i="2"/>
  <c r="N14" i="2"/>
  <c r="AA58" i="2"/>
  <c r="P6" i="2"/>
  <c r="R8" i="6"/>
  <c r="N13" i="2"/>
  <c r="B8" i="6"/>
  <c r="O25" i="2" l="1"/>
  <c r="N41" i="2"/>
  <c r="V37" i="6" s="1"/>
  <c r="N26" i="2"/>
  <c r="N27" i="2"/>
  <c r="N28" i="2"/>
  <c r="AA4" i="6"/>
  <c r="AD4" i="6"/>
  <c r="AG4" i="6" s="1"/>
  <c r="AF59" i="2"/>
  <c r="AJ6" i="2"/>
  <c r="P7" i="2" s="1"/>
  <c r="O41" i="2" s="1"/>
  <c r="V38" i="6" s="1"/>
  <c r="AC59" i="2"/>
  <c r="D7" i="6"/>
  <c r="I2" i="6"/>
  <c r="V6" i="6"/>
  <c r="AQ6" i="2"/>
  <c r="O12" i="2"/>
  <c r="AC6" i="2"/>
  <c r="AL8" i="6"/>
  <c r="C8" i="6"/>
  <c r="AF50" i="2"/>
  <c r="AC50" i="2"/>
  <c r="P9" i="6"/>
  <c r="AH9" i="6" s="1"/>
  <c r="AI8" i="6" s="1"/>
  <c r="A9" i="6"/>
  <c r="AB8" i="6"/>
  <c r="AC8" i="6"/>
  <c r="AF8" i="6" s="1"/>
  <c r="R44" i="6"/>
  <c r="AD59" i="2"/>
  <c r="AD50" i="2"/>
  <c r="S9" i="6"/>
  <c r="P8" i="2"/>
  <c r="T9" i="6"/>
  <c r="AA59" i="2"/>
  <c r="O15" i="2"/>
  <c r="P10" i="2"/>
  <c r="B9" i="6"/>
  <c r="AA50" i="2"/>
  <c r="X5" i="6"/>
  <c r="O14" i="2"/>
  <c r="P9" i="2"/>
  <c r="AJ9" i="6"/>
  <c r="O13" i="2"/>
  <c r="Q6" i="2"/>
  <c r="W5" i="6"/>
  <c r="Y5" i="6"/>
  <c r="P11" i="2"/>
  <c r="R9" i="6"/>
  <c r="AK5" i="6"/>
  <c r="Z5" i="6"/>
  <c r="Q10" i="6"/>
  <c r="Y6" i="6"/>
  <c r="AK6" i="2" l="1"/>
  <c r="Q7" i="2" s="1"/>
  <c r="Q12" i="2" s="1"/>
  <c r="O28" i="2"/>
  <c r="O27" i="2"/>
  <c r="O26" i="2"/>
  <c r="P25" i="2"/>
  <c r="P12" i="2"/>
  <c r="AD5" i="6"/>
  <c r="AG5" i="6" s="1"/>
  <c r="AA5" i="6"/>
  <c r="AF60" i="2"/>
  <c r="AC60" i="2"/>
  <c r="V7" i="6"/>
  <c r="D8" i="6"/>
  <c r="J2" i="6"/>
  <c r="AB9" i="6"/>
  <c r="AC9" i="6"/>
  <c r="AF9" i="6" s="1"/>
  <c r="C9" i="6"/>
  <c r="AF51" i="2"/>
  <c r="A10" i="6"/>
  <c r="AC51" i="2"/>
  <c r="P10" i="6"/>
  <c r="AH10" i="6" s="1"/>
  <c r="AI9" i="6" s="1"/>
  <c r="AL9" i="6"/>
  <c r="R45" i="6"/>
  <c r="AD60" i="2"/>
  <c r="AD51" i="2"/>
  <c r="W6" i="6"/>
  <c r="AK6" i="6"/>
  <c r="R10" i="6"/>
  <c r="AA51" i="2"/>
  <c r="Q11" i="6"/>
  <c r="T10" i="6"/>
  <c r="P13" i="2"/>
  <c r="P14" i="2"/>
  <c r="X6" i="6"/>
  <c r="Q10" i="2"/>
  <c r="Z6" i="6"/>
  <c r="S10" i="6"/>
  <c r="Q11" i="2"/>
  <c r="AA60" i="2"/>
  <c r="P15" i="2"/>
  <c r="Q9" i="2"/>
  <c r="Q8" i="2"/>
  <c r="R6" i="2"/>
  <c r="AJ10" i="6"/>
  <c r="AK7" i="6"/>
  <c r="B10" i="6"/>
  <c r="AL6" i="2" l="1"/>
  <c r="R7" i="2" s="1"/>
  <c r="Q41" i="2" s="1"/>
  <c r="V40" i="6" s="1"/>
  <c r="P41" i="2"/>
  <c r="V39" i="6" s="1"/>
  <c r="Q25" i="2"/>
  <c r="V8" i="6"/>
  <c r="P27" i="2"/>
  <c r="P26" i="2"/>
  <c r="P28" i="2"/>
  <c r="AD6" i="6"/>
  <c r="AG6" i="6" s="1"/>
  <c r="AA6" i="6"/>
  <c r="AF61" i="2"/>
  <c r="D9" i="6"/>
  <c r="K2" i="6"/>
  <c r="AC61" i="2"/>
  <c r="AB10" i="6"/>
  <c r="P11" i="6"/>
  <c r="AH11" i="6" s="1"/>
  <c r="AC52" i="2"/>
  <c r="A11" i="6"/>
  <c r="AF52" i="2"/>
  <c r="AC10" i="6"/>
  <c r="AF10" i="6" s="1"/>
  <c r="C10" i="6"/>
  <c r="AL10" i="6"/>
  <c r="R46" i="6"/>
  <c r="AD61" i="2"/>
  <c r="AD52" i="2"/>
  <c r="Q15" i="2"/>
  <c r="B11" i="6"/>
  <c r="AA61" i="2"/>
  <c r="Z7" i="6"/>
  <c r="W7" i="6"/>
  <c r="Q13" i="6"/>
  <c r="Y7" i="6"/>
  <c r="Q14" i="2"/>
  <c r="AA52" i="2"/>
  <c r="R10" i="2"/>
  <c r="Y8" i="6"/>
  <c r="R11" i="6"/>
  <c r="AJ11" i="6"/>
  <c r="R8" i="2"/>
  <c r="R9" i="2"/>
  <c r="Q13" i="2"/>
  <c r="R11" i="2"/>
  <c r="S11" i="6"/>
  <c r="Q12" i="6"/>
  <c r="T11" i="6"/>
  <c r="X7" i="6"/>
  <c r="S6" i="2"/>
  <c r="AF62" i="2" l="1"/>
  <c r="R12" i="2"/>
  <c r="AM6" i="2"/>
  <c r="S7" i="2" s="1"/>
  <c r="S25" i="2" s="1"/>
  <c r="Q28" i="2"/>
  <c r="Q27" i="2"/>
  <c r="Q26" i="2"/>
  <c r="AC62" i="2"/>
  <c r="R25" i="2"/>
  <c r="V9" i="6"/>
  <c r="AD7" i="6"/>
  <c r="AG7" i="6" s="1"/>
  <c r="AA7" i="6"/>
  <c r="D10" i="6"/>
  <c r="L2" i="6"/>
  <c r="AI10" i="6"/>
  <c r="AF54" i="2"/>
  <c r="AB11" i="6"/>
  <c r="A12" i="6"/>
  <c r="P12" i="6"/>
  <c r="AH12" i="6" s="1"/>
  <c r="AI11" i="6" s="1"/>
  <c r="AC53" i="2"/>
  <c r="AC11" i="6"/>
  <c r="AF11" i="6" s="1"/>
  <c r="C11" i="6"/>
  <c r="P13" i="6"/>
  <c r="AH13" i="6" s="1"/>
  <c r="A13" i="6"/>
  <c r="AC54" i="2"/>
  <c r="AF53" i="2"/>
  <c r="AL11" i="6"/>
  <c r="AD54" i="2"/>
  <c r="AD53" i="2"/>
  <c r="AD62" i="2"/>
  <c r="S8" i="2"/>
  <c r="U6" i="2"/>
  <c r="T12" i="6"/>
  <c r="X9" i="6"/>
  <c r="X8" i="6"/>
  <c r="R12" i="6"/>
  <c r="T13" i="6"/>
  <c r="AK8" i="6"/>
  <c r="S9" i="2"/>
  <c r="S12" i="6"/>
  <c r="R13" i="2"/>
  <c r="S13" i="6"/>
  <c r="W8" i="6"/>
  <c r="R15" i="2"/>
  <c r="R13" i="6"/>
  <c r="AJ13" i="6"/>
  <c r="S10" i="2"/>
  <c r="AA54" i="2"/>
  <c r="Z8" i="6"/>
  <c r="AJ12" i="6"/>
  <c r="R14" i="2"/>
  <c r="S11" i="2"/>
  <c r="B12" i="6"/>
  <c r="T6" i="2"/>
  <c r="AA62" i="2"/>
  <c r="AA53" i="2"/>
  <c r="B13" i="6"/>
  <c r="S12" i="2" l="1"/>
  <c r="R27" i="2"/>
  <c r="AD8" i="6"/>
  <c r="AG8" i="6" s="1"/>
  <c r="AA8" i="6"/>
  <c r="AN6" i="2"/>
  <c r="T7" i="2" s="1"/>
  <c r="S41" i="2" s="1"/>
  <c r="V42" i="6" s="1"/>
  <c r="R26" i="2"/>
  <c r="R28" i="2"/>
  <c r="AO6" i="2"/>
  <c r="U7" i="2" s="1"/>
  <c r="R41" i="2"/>
  <c r="V41" i="6" s="1"/>
  <c r="V10" i="6"/>
  <c r="D11" i="6"/>
  <c r="M2" i="6"/>
  <c r="AI12" i="6"/>
  <c r="AC13" i="6"/>
  <c r="AF13" i="6" s="1"/>
  <c r="AB12" i="6"/>
  <c r="AB13" i="6"/>
  <c r="C12" i="6"/>
  <c r="AL12" i="6"/>
  <c r="C13" i="6"/>
  <c r="AL13" i="6"/>
  <c r="AC12" i="6"/>
  <c r="AF12" i="6" s="1"/>
  <c r="T10" i="2"/>
  <c r="AK9" i="6"/>
  <c r="S14" i="2"/>
  <c r="U9" i="2"/>
  <c r="Y9" i="6"/>
  <c r="U8" i="2"/>
  <c r="S13" i="2"/>
  <c r="U10" i="2"/>
  <c r="T11" i="2"/>
  <c r="S15" i="2"/>
  <c r="T8" i="2"/>
  <c r="Z9" i="6"/>
  <c r="W9" i="6"/>
  <c r="T9" i="2"/>
  <c r="Y10" i="6"/>
  <c r="AD9" i="6" l="1"/>
  <c r="AG9" i="6" s="1"/>
  <c r="AA9" i="6"/>
  <c r="T41" i="2"/>
  <c r="V43" i="6" s="1"/>
  <c r="T12" i="2"/>
  <c r="T25" i="2"/>
  <c r="S27" i="2"/>
  <c r="S26" i="2"/>
  <c r="S28" i="2"/>
  <c r="U25" i="2"/>
  <c r="U12" i="2"/>
  <c r="V11" i="6"/>
  <c r="D12" i="6"/>
  <c r="N2" i="6"/>
  <c r="D13" i="6"/>
  <c r="O2" i="6"/>
  <c r="V13" i="6" s="1"/>
  <c r="U11" i="2"/>
  <c r="Z10" i="6"/>
  <c r="X10" i="6"/>
  <c r="T15" i="2"/>
  <c r="W10" i="6"/>
  <c r="AK10" i="6"/>
  <c r="T14" i="2"/>
  <c r="T13" i="2"/>
  <c r="AK11" i="6"/>
  <c r="Y13" i="6"/>
  <c r="AD10" i="6" l="1"/>
  <c r="AG10" i="6" s="1"/>
  <c r="AA10" i="6"/>
  <c r="T26" i="2"/>
  <c r="T28" i="2"/>
  <c r="T27" i="2"/>
  <c r="V12" i="6"/>
  <c r="W13" i="6"/>
  <c r="Z12" i="6"/>
  <c r="Y11" i="6"/>
  <c r="W11" i="6"/>
  <c r="U13" i="2"/>
  <c r="U14" i="2"/>
  <c r="X13" i="6"/>
  <c r="U15" i="2"/>
  <c r="X11" i="6"/>
  <c r="Z13" i="6"/>
  <c r="AK13" i="6"/>
  <c r="Z11" i="6"/>
  <c r="AD11" i="6" l="1"/>
  <c r="AG11" i="6" s="1"/>
  <c r="AA11" i="6"/>
  <c r="U28" i="2"/>
  <c r="U27" i="2"/>
  <c r="U26" i="2"/>
  <c r="AA13" i="6"/>
  <c r="AD13" i="6"/>
  <c r="AG13" i="6" s="1"/>
  <c r="Y12" i="6"/>
  <c r="X12" i="6"/>
  <c r="AK12" i="6"/>
  <c r="W12" i="6"/>
  <c r="AA12" i="6" l="1"/>
  <c r="AD12" i="6"/>
  <c r="AG12" i="6" s="1"/>
</calcChain>
</file>

<file path=xl/sharedStrings.xml><?xml version="1.0" encoding="utf-8"?>
<sst xmlns="http://schemas.openxmlformats.org/spreadsheetml/2006/main" count="63" uniqueCount="36">
  <si>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</si>
  <si>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</si>
  <si>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</si>
  <si>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</si>
  <si>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</si>
  <si>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</si>
  <si>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</si>
  <si>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</si>
  <si>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Spreads</t>
  </si>
  <si>
    <t xml:space="preserve">LONDON: 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</si>
  <si>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</si>
  <si>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</si>
  <si>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</si>
  <si>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</si>
  <si>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</si>
  <si>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</si>
  <si>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</si>
  <si>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</si>
  <si>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CLE</t>
  </si>
  <si>
    <t>One Month Calendar Spreads</t>
  </si>
  <si>
    <t>Symbols</t>
  </si>
  <si>
    <t>One Month Butterfly Calendar Spreads</t>
  </si>
  <si>
    <t>SPREAD(CLES1?1-CLES1?2)</t>
  </si>
  <si>
    <t xml:space="preserve">Chicago: </t>
  </si>
  <si>
    <t>SPREAD(CLES1?2-CLES1?3)</t>
  </si>
  <si>
    <t>SPREAD(CLES1?3-CLES1?4)</t>
  </si>
  <si>
    <t>SPREAD(CLES1?4-CLES1?5)</t>
  </si>
  <si>
    <t>SPREAD(CLES1?5-CLES1?6)</t>
  </si>
  <si>
    <t>SPREAD(CLES1?6-CLES1?7)</t>
  </si>
  <si>
    <t>SPREAD(CLES1?7-CLES1?8)</t>
  </si>
  <si>
    <t>SPREAD(CLES1?8-CLES1?9)</t>
  </si>
  <si>
    <t>SPREAD(CLES1?9-CLES1?10)</t>
  </si>
  <si>
    <t>SPREAD(CLES1?10-CLES1?11)</t>
  </si>
  <si>
    <t xml:space="preserve">  Copyright © 2015</t>
  </si>
  <si>
    <t>Tokyo:</t>
  </si>
  <si>
    <t>CQG Forward Curves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</si>
</sst>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.000"/>
    <numFmt numFmtId="166" formatCode="0.0000"/>
  </numFmts>
  <fonts count="30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</fills>
  <borders count="66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rgb="FFFF0000"/>
      </top>
      <bottom style="thin">
        <color theme="3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4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/>
      <top/>
      <bottom style="thin">
        <color rgb="FFC00000"/>
      </bottom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theme="4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medium">
        <color theme="4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/>
      <top/>
      <bottom style="medium">
        <color theme="3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201">
    <xf numFmtId="0" fontId="0" fillId="0" borderId="0" xfId="0"/>
    <xf numFmtId="0" fontId="3" fillId="2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/>
    <xf numFmtId="0" fontId="6" fillId="2" borderId="0" xfId="0" applyFont="1" applyFill="1"/>
    <xf numFmtId="2" fontId="9" fillId="3" borderId="3" xfId="0" applyNumberFormat="1" applyFont="1" applyFill="1" applyBorder="1" applyAlignment="1">
      <alignment horizontal="center" vertical="center" shrinkToFit="1"/>
    </xf>
    <xf numFmtId="1" fontId="9" fillId="3" borderId="0" xfId="0" applyNumberFormat="1" applyFont="1" applyFill="1" applyBorder="1" applyAlignment="1">
      <alignment horizontal="center" vertical="center" shrinkToFit="1"/>
    </xf>
    <xf numFmtId="2" fontId="9" fillId="3" borderId="0" xfId="0" applyNumberFormat="1" applyFont="1" applyFill="1" applyBorder="1" applyAlignment="1">
      <alignment horizontal="center" vertical="center" shrinkToFit="1"/>
    </xf>
    <xf numFmtId="165" fontId="11" fillId="3" borderId="0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shrinkToFit="1"/>
    </xf>
    <xf numFmtId="0" fontId="8" fillId="4" borderId="12" xfId="0" applyFont="1" applyFill="1" applyBorder="1" applyAlignment="1">
      <alignment horizontal="center" shrinkToFit="1"/>
    </xf>
    <xf numFmtId="2" fontId="12" fillId="5" borderId="14" xfId="0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shrinkToFit="1"/>
    </xf>
    <xf numFmtId="2" fontId="8" fillId="2" borderId="11" xfId="0" applyNumberFormat="1" applyFont="1" applyFill="1" applyBorder="1" applyAlignment="1">
      <alignment shrinkToFit="1"/>
    </xf>
    <xf numFmtId="0" fontId="14" fillId="2" borderId="0" xfId="0" applyFont="1" applyFill="1"/>
    <xf numFmtId="0" fontId="13" fillId="2" borderId="0" xfId="0" applyFont="1" applyFill="1"/>
    <xf numFmtId="0" fontId="8" fillId="12" borderId="17" xfId="0" applyFont="1" applyFill="1" applyBorder="1" applyAlignment="1">
      <alignment shrinkToFit="1"/>
    </xf>
    <xf numFmtId="0" fontId="15" fillId="2" borderId="0" xfId="0" applyFont="1" applyFill="1"/>
    <xf numFmtId="0" fontId="16" fillId="2" borderId="0" xfId="0" applyFont="1" applyFill="1"/>
    <xf numFmtId="0" fontId="8" fillId="12" borderId="19" xfId="0" applyFont="1" applyFill="1" applyBorder="1" applyAlignment="1">
      <alignment shrinkToFit="1"/>
    </xf>
    <xf numFmtId="3" fontId="8" fillId="2" borderId="18" xfId="0" applyNumberFormat="1" applyFont="1" applyFill="1" applyBorder="1" applyAlignment="1">
      <alignment shrinkToFit="1"/>
    </xf>
    <xf numFmtId="3" fontId="12" fillId="5" borderId="16" xfId="0" applyNumberFormat="1" applyFont="1" applyFill="1" applyBorder="1" applyAlignment="1">
      <alignment horizontal="center" vertical="center"/>
    </xf>
    <xf numFmtId="3" fontId="8" fillId="2" borderId="20" xfId="0" applyNumberFormat="1" applyFont="1" applyFill="1" applyBorder="1" applyAlignment="1">
      <alignment shrinkToFit="1"/>
    </xf>
    <xf numFmtId="0" fontId="8" fillId="12" borderId="17" xfId="0" applyFont="1" applyFill="1" applyBorder="1" applyAlignment="1">
      <alignment horizontal="center" shrinkToFit="1"/>
    </xf>
    <xf numFmtId="2" fontId="8" fillId="2" borderId="10" xfId="0" applyNumberFormat="1" applyFont="1" applyFill="1" applyBorder="1" applyAlignment="1">
      <alignment horizontal="center" shrinkToFit="1"/>
    </xf>
    <xf numFmtId="2" fontId="8" fillId="2" borderId="11" xfId="0" applyNumberFormat="1" applyFont="1" applyFill="1" applyBorder="1" applyAlignment="1">
      <alignment horizontal="center" shrinkToFit="1"/>
    </xf>
    <xf numFmtId="0" fontId="18" fillId="12" borderId="12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center" vertical="center" shrinkToFit="1"/>
    </xf>
    <xf numFmtId="0" fontId="18" fillId="12" borderId="12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 applyProtection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 shrinkToFit="1"/>
    </xf>
    <xf numFmtId="2" fontId="19" fillId="2" borderId="10" xfId="0" applyNumberFormat="1" applyFont="1" applyFill="1" applyBorder="1" applyAlignment="1">
      <alignment shrinkToFit="1"/>
    </xf>
    <xf numFmtId="2" fontId="19" fillId="2" borderId="11" xfId="0" applyNumberFormat="1" applyFont="1" applyFill="1" applyBorder="1" applyAlignment="1">
      <alignment shrinkToFi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0" xfId="0" applyNumberFormat="1" applyFont="1" applyFill="1" applyBorder="1" applyAlignment="1">
      <alignment horizontal="center" vertical="center" shrinkToFit="1"/>
    </xf>
    <xf numFmtId="2" fontId="12" fillId="5" borderId="14" xfId="0" applyNumberFormat="1" applyFont="1" applyFill="1" applyBorder="1" applyAlignment="1">
      <alignment horizontal="center" vertical="center" shrinkToFit="1"/>
    </xf>
    <xf numFmtId="2" fontId="21" fillId="3" borderId="10" xfId="0" applyNumberFormat="1" applyFont="1" applyFill="1" applyBorder="1" applyAlignment="1">
      <alignment horizontal="center" vertical="center"/>
    </xf>
    <xf numFmtId="2" fontId="8" fillId="3" borderId="12" xfId="0" applyNumberFormat="1" applyFont="1" applyFill="1" applyBorder="1" applyAlignment="1">
      <alignment horizontal="center"/>
    </xf>
    <xf numFmtId="0" fontId="22" fillId="4" borderId="36" xfId="0" applyFont="1" applyFill="1" applyBorder="1" applyAlignment="1">
      <alignment horizontal="center"/>
    </xf>
    <xf numFmtId="0" fontId="22" fillId="4" borderId="37" xfId="0" applyFont="1" applyFill="1" applyBorder="1" applyAlignment="1">
      <alignment horizontal="center"/>
    </xf>
    <xf numFmtId="0" fontId="22" fillId="4" borderId="38" xfId="0" applyFont="1" applyFill="1" applyBorder="1" applyAlignment="1">
      <alignment horizontal="center"/>
    </xf>
    <xf numFmtId="0" fontId="22" fillId="4" borderId="39" xfId="0" applyFont="1" applyFill="1" applyBorder="1" applyAlignment="1">
      <alignment horizontal="center"/>
    </xf>
    <xf numFmtId="0" fontId="22" fillId="4" borderId="4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22" xfId="0" applyFont="1" applyFill="1" applyBorder="1"/>
    <xf numFmtId="0" fontId="3" fillId="3" borderId="44" xfId="0" applyFont="1" applyFill="1" applyBorder="1"/>
    <xf numFmtId="0" fontId="3" fillId="2" borderId="45" xfId="0" applyFont="1" applyFill="1" applyBorder="1"/>
    <xf numFmtId="2" fontId="21" fillId="3" borderId="27" xfId="0" applyNumberFormat="1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shrinkToFit="1"/>
    </xf>
    <xf numFmtId="0" fontId="3" fillId="3" borderId="48" xfId="0" applyFont="1" applyFill="1" applyBorder="1" applyAlignment="1">
      <alignment horizontal="center" shrinkToFit="1"/>
    </xf>
    <xf numFmtId="0" fontId="3" fillId="2" borderId="48" xfId="0" applyFont="1" applyFill="1" applyBorder="1"/>
    <xf numFmtId="0" fontId="3" fillId="2" borderId="49" xfId="0" applyFont="1" applyFill="1" applyBorder="1"/>
    <xf numFmtId="2" fontId="3" fillId="2" borderId="33" xfId="0" applyNumberFormat="1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2" fontId="3" fillId="2" borderId="39" xfId="0" applyNumberFormat="1" applyFont="1" applyFill="1" applyBorder="1" applyAlignment="1">
      <alignment horizontal="center"/>
    </xf>
    <xf numFmtId="0" fontId="3" fillId="2" borderId="39" xfId="0" applyFont="1" applyFill="1" applyBorder="1"/>
    <xf numFmtId="0" fontId="3" fillId="2" borderId="50" xfId="0" applyFont="1" applyFill="1" applyBorder="1"/>
    <xf numFmtId="2" fontId="8" fillId="3" borderId="43" xfId="0" applyNumberFormat="1" applyFont="1" applyFill="1" applyBorder="1" applyAlignment="1">
      <alignment horizontal="center"/>
    </xf>
    <xf numFmtId="0" fontId="18" fillId="12" borderId="50" xfId="0" applyFont="1" applyFill="1" applyBorder="1" applyAlignment="1">
      <alignment horizontal="center" vertical="center" shrinkToFit="1"/>
    </xf>
    <xf numFmtId="0" fontId="18" fillId="12" borderId="51" xfId="0" applyFont="1" applyFill="1" applyBorder="1" applyAlignment="1">
      <alignment horizontal="center" vertical="center" shrinkToFit="1"/>
    </xf>
    <xf numFmtId="0" fontId="18" fillId="3" borderId="44" xfId="0" applyFont="1" applyFill="1" applyBorder="1" applyAlignment="1">
      <alignment horizontal="center" vertical="center" shrinkToFit="1"/>
    </xf>
    <xf numFmtId="2" fontId="3" fillId="3" borderId="52" xfId="0" applyNumberFormat="1" applyFont="1" applyFill="1" applyBorder="1" applyAlignment="1">
      <alignment horizontal="center" shrinkToFit="1"/>
    </xf>
    <xf numFmtId="2" fontId="3" fillId="3" borderId="53" xfId="0" applyNumberFormat="1" applyFont="1" applyFill="1" applyBorder="1" applyAlignment="1">
      <alignment horizontal="center" shrinkToFit="1"/>
    </xf>
    <xf numFmtId="0" fontId="3" fillId="3" borderId="53" xfId="0" applyFont="1" applyFill="1" applyBorder="1" applyAlignment="1">
      <alignment horizontal="right"/>
    </xf>
    <xf numFmtId="0" fontId="3" fillId="3" borderId="53" xfId="0" applyFont="1" applyFill="1" applyBorder="1"/>
    <xf numFmtId="0" fontId="3" fillId="3" borderId="54" xfId="0" applyFont="1" applyFill="1" applyBorder="1"/>
    <xf numFmtId="2" fontId="3" fillId="2" borderId="55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right"/>
    </xf>
    <xf numFmtId="0" fontId="3" fillId="2" borderId="56" xfId="0" applyFont="1" applyFill="1" applyBorder="1"/>
    <xf numFmtId="2" fontId="3" fillId="3" borderId="55" xfId="0" applyNumberFormat="1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right"/>
    </xf>
    <xf numFmtId="2" fontId="3" fillId="2" borderId="21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right"/>
    </xf>
    <xf numFmtId="0" fontId="3" fillId="2" borderId="23" xfId="0" applyFont="1" applyFill="1" applyBorder="1"/>
    <xf numFmtId="0" fontId="26" fillId="3" borderId="57" xfId="0" applyFont="1" applyFill="1" applyBorder="1" applyAlignment="1">
      <alignment horizontal="center" vertical="center" shrinkToFit="1"/>
    </xf>
    <xf numFmtId="0" fontId="26" fillId="3" borderId="48" xfId="0" applyFont="1" applyFill="1" applyBorder="1" applyAlignment="1">
      <alignment horizontal="center" vertical="center" shrinkToFit="1"/>
    </xf>
    <xf numFmtId="2" fontId="19" fillId="3" borderId="0" xfId="0" applyNumberFormat="1" applyFont="1" applyFill="1" applyBorder="1" applyAlignment="1">
      <alignment horizontal="center"/>
    </xf>
    <xf numFmtId="0" fontId="26" fillId="3" borderId="58" xfId="0" applyFont="1" applyFill="1" applyBorder="1" applyAlignment="1">
      <alignment horizontal="center" vertical="center" shrinkToFit="1"/>
    </xf>
    <xf numFmtId="2" fontId="19" fillId="3" borderId="56" xfId="0" applyNumberFormat="1" applyFont="1" applyFill="1" applyBorder="1" applyAlignment="1">
      <alignment horizontal="center"/>
    </xf>
    <xf numFmtId="0" fontId="3" fillId="3" borderId="55" xfId="0" applyFont="1" applyFill="1" applyBorder="1" applyAlignment="1">
      <alignment horizontal="center" shrinkToFit="1"/>
    </xf>
    <xf numFmtId="0" fontId="3" fillId="3" borderId="56" xfId="0" applyFont="1" applyFill="1" applyBorder="1" applyAlignment="1">
      <alignment horizontal="center" shrinkToFit="1"/>
    </xf>
    <xf numFmtId="2" fontId="3" fillId="3" borderId="55" xfId="0" applyNumberFormat="1" applyFont="1" applyFill="1" applyBorder="1" applyAlignment="1">
      <alignment horizontal="center"/>
    </xf>
    <xf numFmtId="2" fontId="3" fillId="3" borderId="56" xfId="0" applyNumberFormat="1" applyFont="1" applyFill="1" applyBorder="1" applyAlignment="1">
      <alignment horizontal="center"/>
    </xf>
    <xf numFmtId="0" fontId="3" fillId="3" borderId="56" xfId="0" applyFont="1" applyFill="1" applyBorder="1"/>
    <xf numFmtId="2" fontId="3" fillId="3" borderId="59" xfId="0" applyNumberFormat="1" applyFont="1" applyFill="1" applyBorder="1" applyAlignment="1">
      <alignment horizontal="center"/>
    </xf>
    <xf numFmtId="2" fontId="3" fillId="3" borderId="39" xfId="0" applyNumberFormat="1" applyFont="1" applyFill="1" applyBorder="1" applyAlignment="1">
      <alignment horizontal="center"/>
    </xf>
    <xf numFmtId="2" fontId="3" fillId="3" borderId="39" xfId="0" applyNumberFormat="1" applyFont="1" applyFill="1" applyBorder="1" applyAlignment="1">
      <alignment horizontal="right"/>
    </xf>
    <xf numFmtId="0" fontId="3" fillId="3" borderId="39" xfId="0" applyFont="1" applyFill="1" applyBorder="1"/>
    <xf numFmtId="0" fontId="3" fillId="3" borderId="60" xfId="0" applyFont="1" applyFill="1" applyBorder="1"/>
    <xf numFmtId="2" fontId="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shrinkToFit="1"/>
    </xf>
    <xf numFmtId="0" fontId="8" fillId="2" borderId="0" xfId="0" applyFont="1" applyFill="1" applyBorder="1" applyAlignment="1">
      <alignment horizontal="center" shrinkToFit="1"/>
    </xf>
    <xf numFmtId="0" fontId="6" fillId="2" borderId="0" xfId="0" applyFont="1" applyFill="1" applyBorder="1"/>
    <xf numFmtId="0" fontId="17" fillId="2" borderId="0" xfId="0" applyFont="1" applyFill="1" applyBorder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1" fontId="8" fillId="5" borderId="28" xfId="0" applyNumberFormat="1" applyFont="1" applyFill="1" applyBorder="1" applyAlignment="1" applyProtection="1">
      <alignment horizontal="center" shrinkToFit="1"/>
      <protection locked="0"/>
    </xf>
    <xf numFmtId="1" fontId="8" fillId="5" borderId="41" xfId="0" applyNumberFormat="1" applyFont="1" applyFill="1" applyBorder="1" applyAlignment="1" applyProtection="1">
      <alignment horizontal="center" shrinkToFit="1"/>
      <protection locked="0"/>
    </xf>
    <xf numFmtId="1" fontId="25" fillId="5" borderId="28" xfId="0" applyNumberFormat="1" applyFont="1" applyFill="1" applyBorder="1" applyAlignment="1">
      <alignment horizontal="right" shrinkToFit="1"/>
    </xf>
    <xf numFmtId="1" fontId="23" fillId="5" borderId="28" xfId="0" applyNumberFormat="1" applyFont="1" applyFill="1" applyBorder="1" applyAlignment="1">
      <alignment horizontal="right" shrinkToFit="1"/>
    </xf>
    <xf numFmtId="1" fontId="24" fillId="5" borderId="28" xfId="0" applyNumberFormat="1" applyFont="1" applyFill="1" applyBorder="1" applyAlignment="1">
      <alignment horizontal="right" shrinkToFit="1"/>
    </xf>
    <xf numFmtId="0" fontId="3" fillId="2" borderId="0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1" fontId="25" fillId="6" borderId="8" xfId="0" applyNumberFormat="1" applyFont="1" applyFill="1" applyBorder="1" applyAlignment="1">
      <alignment horizontal="right" shrinkToFit="1"/>
    </xf>
    <xf numFmtId="1" fontId="8" fillId="6" borderId="8" xfId="0" applyNumberFormat="1" applyFont="1" applyFill="1" applyBorder="1" applyAlignment="1" applyProtection="1">
      <alignment horizontal="center" shrinkToFit="1"/>
      <protection locked="0"/>
    </xf>
    <xf numFmtId="1" fontId="23" fillId="6" borderId="8" xfId="0" applyNumberFormat="1" applyFont="1" applyFill="1" applyBorder="1" applyAlignment="1">
      <alignment horizontal="right" shrinkToFit="1"/>
    </xf>
    <xf numFmtId="1" fontId="24" fillId="6" borderId="8" xfId="0" applyNumberFormat="1" applyFont="1" applyFill="1" applyBorder="1" applyAlignment="1">
      <alignment horizontal="right" shrinkToFit="1"/>
    </xf>
    <xf numFmtId="1" fontId="8" fillId="6" borderId="35" xfId="0" applyNumberFormat="1" applyFont="1" applyFill="1" applyBorder="1" applyAlignment="1" applyProtection="1">
      <alignment horizontal="center" shrinkToFit="1"/>
      <protection locked="0"/>
    </xf>
    <xf numFmtId="0" fontId="27" fillId="2" borderId="0" xfId="1" applyFont="1" applyFill="1" applyBorder="1" applyAlignment="1">
      <alignment horizontal="right" vertical="center"/>
    </xf>
    <xf numFmtId="0" fontId="27" fillId="2" borderId="0" xfId="1" applyFont="1" applyFill="1" applyBorder="1" applyAlignment="1">
      <alignment horizontal="center" vertical="center"/>
    </xf>
    <xf numFmtId="0" fontId="27" fillId="2" borderId="56" xfId="1" applyFont="1" applyFill="1" applyBorder="1" applyAlignment="1">
      <alignment horizontal="center" vertical="center"/>
    </xf>
    <xf numFmtId="164" fontId="17" fillId="14" borderId="22" xfId="0" applyNumberFormat="1" applyFont="1" applyFill="1" applyBorder="1" applyAlignment="1">
      <alignment vertical="center"/>
    </xf>
    <xf numFmtId="0" fontId="17" fillId="14" borderId="22" xfId="1" applyFont="1" applyFill="1" applyBorder="1" applyAlignment="1">
      <alignment horizontal="right" vertical="center"/>
    </xf>
    <xf numFmtId="0" fontId="7" fillId="7" borderId="4" xfId="1" applyFont="1" applyFill="1" applyBorder="1" applyAlignment="1">
      <alignment horizontal="center" vertical="center"/>
    </xf>
    <xf numFmtId="0" fontId="7" fillId="3" borderId="62" xfId="0" applyFont="1" applyFill="1" applyBorder="1" applyAlignment="1" applyProtection="1">
      <alignment horizontal="center" vertical="center" shrinkToFit="1"/>
    </xf>
    <xf numFmtId="0" fontId="22" fillId="4" borderId="60" xfId="0" applyFont="1" applyFill="1" applyBorder="1" applyAlignment="1">
      <alignment horizontal="center"/>
    </xf>
    <xf numFmtId="0" fontId="18" fillId="12" borderId="63" xfId="0" applyFont="1" applyFill="1" applyBorder="1" applyAlignment="1">
      <alignment horizontal="center" vertical="center"/>
    </xf>
    <xf numFmtId="2" fontId="8" fillId="2" borderId="63" xfId="0" applyNumberFormat="1" applyFont="1" applyFill="1" applyBorder="1" applyAlignment="1">
      <alignment horizontal="center"/>
    </xf>
    <xf numFmtId="164" fontId="27" fillId="2" borderId="0" xfId="1" applyNumberFormat="1" applyFont="1" applyFill="1" applyBorder="1" applyAlignment="1">
      <alignment horizontal="left" vertical="center"/>
    </xf>
    <xf numFmtId="0" fontId="27" fillId="2" borderId="0" xfId="1" applyFont="1" applyFill="1" applyBorder="1" applyAlignment="1">
      <alignment horizontal="right" vertical="center"/>
    </xf>
    <xf numFmtId="0" fontId="8" fillId="6" borderId="34" xfId="0" applyFont="1" applyFill="1" applyBorder="1" applyAlignment="1">
      <alignment horizontal="center" shrinkToFit="1"/>
    </xf>
    <xf numFmtId="0" fontId="8" fillId="6" borderId="8" xfId="0" applyFont="1" applyFill="1" applyBorder="1" applyAlignment="1">
      <alignment horizontal="center" shrinkToFit="1"/>
    </xf>
    <xf numFmtId="0" fontId="27" fillId="2" borderId="0" xfId="1" applyFont="1" applyFill="1" applyBorder="1" applyAlignment="1">
      <alignment horizontal="center" vertical="center"/>
    </xf>
    <xf numFmtId="0" fontId="17" fillId="14" borderId="22" xfId="1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left" shrinkToFit="1"/>
    </xf>
    <xf numFmtId="0" fontId="8" fillId="12" borderId="28" xfId="0" applyFont="1" applyFill="1" applyBorder="1" applyAlignment="1">
      <alignment horizontal="left" shrinkToFit="1"/>
    </xf>
    <xf numFmtId="0" fontId="8" fillId="12" borderId="29" xfId="0" applyFont="1" applyFill="1" applyBorder="1" applyAlignment="1">
      <alignment horizontal="left" shrinkToFit="1"/>
    </xf>
    <xf numFmtId="0" fontId="29" fillId="5" borderId="34" xfId="0" applyFont="1" applyFill="1" applyBorder="1" applyAlignment="1">
      <alignment horizontal="center" vertical="center" shrinkToFit="1"/>
    </xf>
    <xf numFmtId="0" fontId="29" fillId="5" borderId="8" xfId="0" applyFont="1" applyFill="1" applyBorder="1" applyAlignment="1">
      <alignment horizontal="center" vertical="center" shrinkToFit="1"/>
    </xf>
    <xf numFmtId="0" fontId="29" fillId="5" borderId="35" xfId="0" applyFont="1" applyFill="1" applyBorder="1" applyAlignment="1">
      <alignment horizontal="center" vertical="center" shrinkToFit="1"/>
    </xf>
    <xf numFmtId="0" fontId="29" fillId="5" borderId="21" xfId="0" applyFont="1" applyFill="1" applyBorder="1" applyAlignment="1">
      <alignment horizontal="center" vertical="center" shrinkToFit="1"/>
    </xf>
    <xf numFmtId="0" fontId="29" fillId="5" borderId="22" xfId="0" applyFont="1" applyFill="1" applyBorder="1" applyAlignment="1">
      <alignment horizontal="center" vertical="center" shrinkToFit="1"/>
    </xf>
    <xf numFmtId="0" fontId="29" fillId="5" borderId="23" xfId="0" applyFont="1" applyFill="1" applyBorder="1" applyAlignment="1">
      <alignment horizontal="center" vertical="center" shrinkToFit="1"/>
    </xf>
    <xf numFmtId="0" fontId="8" fillId="13" borderId="13" xfId="0" applyFont="1" applyFill="1" applyBorder="1" applyAlignment="1">
      <alignment horizontal="center"/>
    </xf>
    <xf numFmtId="0" fontId="8" fillId="13" borderId="49" xfId="0" applyFont="1" applyFill="1" applyBorder="1" applyAlignment="1">
      <alignment horizontal="center"/>
    </xf>
    <xf numFmtId="0" fontId="17" fillId="14" borderId="22" xfId="1" applyFont="1" applyFill="1" applyBorder="1" applyAlignment="1">
      <alignment horizontal="right" vertical="center"/>
    </xf>
    <xf numFmtId="164" fontId="17" fillId="14" borderId="22" xfId="0" applyNumberFormat="1" applyFont="1" applyFill="1" applyBorder="1" applyAlignment="1">
      <alignment horizontal="left" vertical="center"/>
    </xf>
    <xf numFmtId="0" fontId="17" fillId="14" borderId="21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6" xfId="1" applyFont="1" applyFill="1" applyBorder="1" applyAlignment="1">
      <alignment horizontal="center" vertical="center"/>
    </xf>
    <xf numFmtId="2" fontId="9" fillId="9" borderId="34" xfId="0" applyNumberFormat="1" applyFont="1" applyFill="1" applyBorder="1" applyAlignment="1">
      <alignment horizontal="center" vertical="center" shrinkToFit="1"/>
    </xf>
    <xf numFmtId="2" fontId="9" fillId="9" borderId="65" xfId="0" applyNumberFormat="1" applyFont="1" applyFill="1" applyBorder="1" applyAlignment="1">
      <alignment horizontal="center" vertical="center" shrinkToFit="1"/>
    </xf>
    <xf numFmtId="2" fontId="9" fillId="8" borderId="0" xfId="0" applyNumberFormat="1" applyFont="1" applyFill="1" applyBorder="1" applyAlignment="1">
      <alignment horizontal="center" vertical="center" shrinkToFit="1"/>
    </xf>
    <xf numFmtId="2" fontId="9" fillId="8" borderId="5" xfId="0" applyNumberFormat="1" applyFont="1" applyFill="1" applyBorder="1" applyAlignment="1">
      <alignment horizontal="center" vertical="center" shrinkToFit="1"/>
    </xf>
    <xf numFmtId="2" fontId="9" fillId="8" borderId="7" xfId="0" applyNumberFormat="1" applyFont="1" applyFill="1" applyBorder="1" applyAlignment="1">
      <alignment horizontal="center" vertical="center" shrinkToFit="1"/>
    </xf>
    <xf numFmtId="2" fontId="9" fillId="8" borderId="9" xfId="0" applyNumberFormat="1" applyFont="1" applyFill="1" applyBorder="1" applyAlignment="1">
      <alignment horizontal="center" vertical="center" shrinkToFit="1"/>
    </xf>
    <xf numFmtId="166" fontId="10" fillId="10" borderId="3" xfId="0" applyNumberFormat="1" applyFont="1" applyFill="1" applyBorder="1" applyAlignment="1">
      <alignment horizontal="center" vertical="center" shrinkToFit="1"/>
    </xf>
    <xf numFmtId="166" fontId="10" fillId="10" borderId="0" xfId="0" applyNumberFormat="1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shrinkToFit="1"/>
    </xf>
    <xf numFmtId="0" fontId="8" fillId="5" borderId="28" xfId="0" applyFont="1" applyFill="1" applyBorder="1" applyAlignment="1">
      <alignment horizontal="center" shrinkToFit="1"/>
    </xf>
    <xf numFmtId="2" fontId="12" fillId="5" borderId="30" xfId="0" applyNumberFormat="1" applyFont="1" applyFill="1" applyBorder="1" applyAlignment="1">
      <alignment horizontal="center" vertical="center"/>
    </xf>
    <xf numFmtId="2" fontId="12" fillId="5" borderId="31" xfId="0" applyNumberFormat="1" applyFont="1" applyFill="1" applyBorder="1" applyAlignment="1">
      <alignment horizontal="center" vertical="center"/>
    </xf>
    <xf numFmtId="2" fontId="12" fillId="5" borderId="32" xfId="0" applyNumberFormat="1" applyFont="1" applyFill="1" applyBorder="1" applyAlignment="1">
      <alignment horizontal="center" vertical="center"/>
    </xf>
    <xf numFmtId="164" fontId="17" fillId="14" borderId="46" xfId="0" applyNumberFormat="1" applyFont="1" applyFill="1" applyBorder="1" applyAlignment="1">
      <alignment horizontal="left" vertical="center"/>
    </xf>
    <xf numFmtId="164" fontId="17" fillId="14" borderId="22" xfId="1" applyNumberFormat="1" applyFont="1" applyFill="1" applyBorder="1" applyAlignment="1">
      <alignment horizontal="left" vertical="center"/>
    </xf>
    <xf numFmtId="164" fontId="17" fillId="14" borderId="22" xfId="0" applyNumberFormat="1" applyFont="1" applyFill="1" applyBorder="1" applyAlignment="1">
      <alignment horizontal="center" vertical="center"/>
    </xf>
    <xf numFmtId="0" fontId="28" fillId="5" borderId="61" xfId="0" applyFont="1" applyFill="1" applyBorder="1" applyAlignment="1" applyProtection="1">
      <alignment horizontal="center" vertical="center" shrinkToFit="1"/>
    </xf>
    <xf numFmtId="0" fontId="28" fillId="5" borderId="53" xfId="0" applyFont="1" applyFill="1" applyBorder="1" applyAlignment="1" applyProtection="1">
      <alignment horizontal="center" vertical="center" shrinkToFit="1"/>
    </xf>
    <xf numFmtId="0" fontId="28" fillId="5" borderId="54" xfId="0" applyFont="1" applyFill="1" applyBorder="1" applyAlignment="1" applyProtection="1">
      <alignment horizontal="center" vertical="center" shrinkToFit="1"/>
    </xf>
    <xf numFmtId="0" fontId="28" fillId="5" borderId="42" xfId="0" applyFont="1" applyFill="1" applyBorder="1" applyAlignment="1" applyProtection="1">
      <alignment horizontal="center" vertical="center" shrinkToFit="1"/>
    </xf>
    <xf numFmtId="0" fontId="28" fillId="5" borderId="39" xfId="0" applyFont="1" applyFill="1" applyBorder="1" applyAlignment="1" applyProtection="1">
      <alignment horizontal="center" vertical="center" shrinkToFit="1"/>
    </xf>
    <xf numFmtId="0" fontId="28" fillId="5" borderId="60" xfId="0" applyFont="1" applyFill="1" applyBorder="1" applyAlignment="1" applyProtection="1">
      <alignment horizontal="center" vertical="center" shrinkToFit="1"/>
    </xf>
    <xf numFmtId="0" fontId="19" fillId="3" borderId="55" xfId="0" applyFont="1" applyFill="1" applyBorder="1" applyAlignment="1">
      <alignment horizontal="center"/>
    </xf>
    <xf numFmtId="0" fontId="28" fillId="5" borderId="52" xfId="0" applyFont="1" applyFill="1" applyBorder="1" applyAlignment="1" applyProtection="1">
      <alignment horizontal="center" vertical="center" shrinkToFit="1"/>
    </xf>
    <xf numFmtId="0" fontId="28" fillId="5" borderId="55" xfId="0" applyFont="1" applyFill="1" applyBorder="1" applyAlignment="1" applyProtection="1">
      <alignment horizontal="center" vertical="center" shrinkToFit="1"/>
    </xf>
    <xf numFmtId="0" fontId="28" fillId="5" borderId="0" xfId="0" applyFont="1" applyFill="1" applyBorder="1" applyAlignment="1" applyProtection="1">
      <alignment horizontal="center" vertical="center" shrinkToFit="1"/>
    </xf>
    <xf numFmtId="1" fontId="9" fillId="9" borderId="8" xfId="0" applyNumberFormat="1" applyFont="1" applyFill="1" applyBorder="1" applyAlignment="1">
      <alignment horizontal="center" vertical="center" shrinkToFit="1"/>
    </xf>
    <xf numFmtId="1" fontId="9" fillId="9" borderId="1" xfId="0" applyNumberFormat="1" applyFont="1" applyFill="1" applyBorder="1" applyAlignment="1">
      <alignment horizontal="center" vertical="center" shrinkToFit="1"/>
    </xf>
    <xf numFmtId="2" fontId="9" fillId="9" borderId="8" xfId="0" applyNumberFormat="1" applyFont="1" applyFill="1" applyBorder="1" applyAlignment="1">
      <alignment horizontal="center" vertical="center" shrinkToFit="1"/>
    </xf>
    <xf numFmtId="2" fontId="9" fillId="9" borderId="1" xfId="0" applyNumberFormat="1" applyFont="1" applyFill="1" applyBorder="1" applyAlignment="1">
      <alignment horizontal="center" vertical="center" shrinkToFit="1"/>
    </xf>
    <xf numFmtId="2" fontId="11" fillId="11" borderId="3" xfId="0" applyNumberFormat="1" applyFont="1" applyFill="1" applyBorder="1" applyAlignment="1">
      <alignment horizontal="center" vertical="center"/>
    </xf>
    <xf numFmtId="2" fontId="11" fillId="11" borderId="0" xfId="0" applyNumberFormat="1" applyFont="1" applyFill="1" applyBorder="1" applyAlignment="1">
      <alignment horizontal="center" vertical="center"/>
    </xf>
    <xf numFmtId="2" fontId="11" fillId="11" borderId="2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165" fontId="11" fillId="11" borderId="0" xfId="0" applyNumberFormat="1" applyFont="1" applyFill="1" applyBorder="1" applyAlignment="1">
      <alignment horizontal="center" vertical="center"/>
    </xf>
    <xf numFmtId="165" fontId="11" fillId="11" borderId="1" xfId="0" applyNumberFormat="1" applyFont="1" applyFill="1" applyBorder="1" applyAlignment="1">
      <alignment horizontal="center" vertical="center"/>
    </xf>
    <xf numFmtId="2" fontId="9" fillId="8" borderId="55" xfId="0" applyNumberFormat="1" applyFont="1" applyFill="1" applyBorder="1" applyAlignment="1">
      <alignment horizontal="center" vertical="center" shrinkToFit="1"/>
    </xf>
    <xf numFmtId="2" fontId="9" fillId="8" borderId="64" xfId="0" applyNumberFormat="1" applyFont="1" applyFill="1" applyBorder="1" applyAlignment="1">
      <alignment horizontal="center" vertical="center" shrinkToFit="1"/>
    </xf>
    <xf numFmtId="1" fontId="9" fillId="8" borderId="0" xfId="0" applyNumberFormat="1" applyFont="1" applyFill="1" applyBorder="1" applyAlignment="1">
      <alignment horizontal="center" vertical="center" shrinkToFit="1"/>
    </xf>
    <xf numFmtId="1" fontId="9" fillId="8" borderId="7" xfId="0" applyNumberFormat="1" applyFont="1" applyFill="1" applyBorder="1" applyAlignment="1">
      <alignment horizontal="center" vertical="center" shrinkToFit="1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56.01</v>
        <stp/>
        <stp>ContractData</stp>
        <stp>CLEG6</stp>
        <stp>Settlement</stp>
        <stp/>
        <stp>T</stp>
        <tr r="AJ13" s="6"/>
      </tp>
      <tp>
        <v>55.56</v>
        <stp/>
        <stp>ContractData</stp>
        <stp>CLEF6</stp>
        <stp>Settlement</stp>
        <stp/>
        <stp>T</stp>
        <tr r="AJ12" s="6"/>
      </tp>
      <tp>
        <v>-0.02</v>
        <stp/>
        <stp>StudyData</stp>
        <stp>Consolidate(CLES1?3-CLES1?4,5X,CLES1?3-CLES1?4,1,0)</stp>
        <stp>Bar</stp>
        <stp/>
        <stp>Close</stp>
        <stp>D</stp>
        <stp>-1</stp>
        <stp/>
        <stp/>
        <stp/>
        <stp/>
        <stp>T</stp>
        <tr r="U36" s="6"/>
        <tr r="I46" s="2"/>
      </tp>
      <tp>
        <v>49.13</v>
        <stp/>
        <stp>ContractData</stp>
        <stp>CLEH5</stp>
        <stp>Settlement</stp>
        <stp/>
        <stp>T</stp>
        <tr r="AJ2" s="6"/>
      </tp>
      <tp>
        <v>50.620000000000005</v>
        <stp/>
        <stp>ContractData</stp>
        <stp>CLEK5</stp>
        <stp>Settlement</stp>
        <stp/>
        <stp>T</stp>
        <tr r="AJ4" s="6"/>
      </tp>
      <tp>
        <v>49.84</v>
        <stp/>
        <stp>ContractData</stp>
        <stp>CLEJ5</stp>
        <stp>Settlement</stp>
        <stp/>
        <stp>T</stp>
        <tr r="AJ3" s="6"/>
      </tp>
      <tp>
        <v>51.370000000000005</v>
        <stp/>
        <stp>ContractData</stp>
        <stp>CLEM5</stp>
        <stp>Settlement</stp>
        <stp/>
        <stp>T</stp>
        <tr r="AJ5" s="6"/>
      </tp>
      <tp>
        <v>52.09</v>
        <stp/>
        <stp>ContractData</stp>
        <stp>CLEN5</stp>
        <stp>Settlement</stp>
        <stp/>
        <stp>T</stp>
        <tr r="AJ6" s="6"/>
      </tp>
      <tp>
        <v>52.76</v>
        <stp/>
        <stp>ContractData</stp>
        <stp>CLEQ5</stp>
        <stp>Settlement</stp>
        <stp/>
        <stp>T</stp>
        <tr r="AJ7" s="6"/>
      </tp>
      <tp>
        <v>53.410000000000004</v>
        <stp/>
        <stp>ContractData</stp>
        <stp>CLEU5</stp>
        <stp>Settlement</stp>
        <stp/>
        <stp>T</stp>
        <tr r="AJ8" s="6"/>
      </tp>
      <tp>
        <v>53.99</v>
        <stp/>
        <stp>ContractData</stp>
        <stp>CLEV5</stp>
        <stp>Settlement</stp>
        <stp/>
        <stp>T</stp>
        <tr r="AJ9" s="6"/>
      </tp>
      <tp>
        <v>54.56</v>
        <stp/>
        <stp>ContractData</stp>
        <stp>CLEX5</stp>
        <stp>Settlement</stp>
        <stp/>
        <stp>T</stp>
        <tr r="AJ10" s="6"/>
      </tp>
      <tp>
        <v>55.120000000000005</v>
        <stp/>
        <stp>ContractData</stp>
        <stp>CLEZ5</stp>
        <stp>Settlement</stp>
        <stp/>
        <stp>T</stp>
        <tr r="AJ11" s="6"/>
      </tp>
      <tp>
        <v>2</v>
        <stp/>
        <stp>ContractData</stp>
        <stp>CLEH5</stp>
        <stp>MT_LastAskVolume</stp>
        <tr r="C7" s="2"/>
      </tp>
      <tp>
        <v>0.26</v>
        <stp/>
        <stp>StudyData</stp>
        <stp>Consolidate(CLES1?1-CLES1?2,5X,CLES1?1-CLES1?2,1,0)</stp>
        <stp>Bar</stp>
        <stp/>
        <stp>Close</stp>
        <stp>D</stp>
        <stp>-1</stp>
        <stp/>
        <stp/>
        <stp/>
        <stp/>
        <stp>T</stp>
        <tr r="U34" s="6"/>
        <tr r="I44" s="2"/>
      </tp>
      <tp>
        <v>-0.05</v>
        <stp/>
        <stp>StudyData</stp>
        <stp>Consolidate(CLES1?5-CLES1?6,5X,CLES1?5-CLES1?6,1,0)</stp>
        <stp>Bar</stp>
        <stp/>
        <stp>Close</stp>
        <stp>D</stp>
        <stp>-1</stp>
        <stp/>
        <stp/>
        <stp/>
        <stp/>
        <stp>T</stp>
        <tr r="U38" s="6"/>
        <tr r="I48" s="2"/>
      </tp>
      <tp>
        <v>0.1</v>
        <stp/>
        <stp>StudyData</stp>
        <stp>Consolidate(CLES1?2-CLES1?3,5X,CLES1?2-CLES1?3,1,0)</stp>
        <stp>Bar</stp>
        <stp/>
        <stp>Close</stp>
        <stp>D</stp>
        <stp>-1</stp>
        <stp/>
        <stp/>
        <stp/>
        <stp/>
        <stp>T</stp>
        <tr r="U35" s="6"/>
        <tr r="I45" s="2"/>
      </tp>
      <tp>
        <v>-0.03</v>
        <stp/>
        <stp>StudyData</stp>
        <stp>Consolidate(CLES1?4-CLES1?5,5X,CLES1?4-CLES1?5,1,0)</stp>
        <stp>Bar</stp>
        <stp/>
        <stp>Close</stp>
        <stp>D</stp>
        <stp>-1</stp>
        <stp/>
        <stp/>
        <stp/>
        <stp/>
        <stp>T</stp>
        <tr r="I47" s="2"/>
        <tr r="U37" s="6"/>
      </tp>
      <tp>
        <v>0.01</v>
        <stp/>
        <stp>StudyData</stp>
        <stp>Consolidate(CLES1?6-CLES1?7,5X,CLES1?6-CLES1?7,1,0)</stp>
        <stp>Bar</stp>
        <stp/>
        <stp>Close</stp>
        <stp>D</stp>
        <stp>-1</stp>
        <stp/>
        <stp/>
        <stp/>
        <stp/>
        <stp>T</stp>
        <tr r="U39" s="6"/>
        <tr r="I49" s="2"/>
      </tp>
      <tp>
        <v>-0.02</v>
        <stp/>
        <stp>StudyData</stp>
        <stp>Consolidate(CLES1?8-CLES1?9,5X,CLES1?8-CLES1?9,1,0)</stp>
        <stp>Bar</stp>
        <stp/>
        <stp>Close</stp>
        <stp>D</stp>
        <stp>-1</stp>
        <stp/>
        <stp/>
        <stp/>
        <stp/>
        <stp>T</stp>
        <tr r="U41" s="6"/>
        <tr r="I51" s="2"/>
      </tp>
      <tp>
        <v>-0.14000000000000001</v>
        <stp/>
        <stp>StudyData</stp>
        <stp>Consolidate(CLES1?10-CLES1?11,5X,CLES1?10-CLES1?11,1,0)</stp>
        <stp>Bar</stp>
        <stp/>
        <stp>Low</stp>
        <stp>D</stp>
        <stp/>
        <stp/>
        <stp/>
        <stp/>
        <stp/>
        <stp>T</stp>
        <tr r="G53" s="2"/>
      </tp>
      <tp>
        <v>4.9999999999999933E-2</v>
        <stp/>
        <stp>ContractData</stp>
        <stp>CLES1M</stp>
        <stp>NetLastQuoteToday</stp>
        <stp/>
        <stp>T</stp>
        <tr r="X5" s="6"/>
      </tp>
      <tp>
        <v>6.9999999999999951E-2</v>
        <stp/>
        <stp>ContractData</stp>
        <stp>CLES1N</stp>
        <stp>NetLastQuoteToday</stp>
        <stp/>
        <stp>T</stp>
        <tr r="X6" s="6"/>
      </tp>
      <tp>
        <v>0.10999999999999999</v>
        <stp/>
        <stp>ContractData</stp>
        <stp>CLES1H</stp>
        <stp>NetLastQuoteToday</stp>
        <stp/>
        <stp>T</stp>
        <tr r="X2" s="6"/>
      </tp>
      <tp>
        <v>5.0000000000000044E-2</v>
        <stp/>
        <stp>ContractData</stp>
        <stp>CLES1K</stp>
        <stp>NetLastQuoteToday</stp>
        <stp/>
        <stp>T</stp>
        <tr r="X4" s="6"/>
      </tp>
      <tp>
        <v>9.000000000000008E-2</v>
        <stp/>
        <stp>ContractData</stp>
        <stp>CLES1J</stp>
        <stp>NetLastQuoteToday</stp>
        <stp/>
        <stp>T</stp>
        <tr r="X3" s="6"/>
      </tp>
      <tp>
        <v>3.999999999999998E-2</v>
        <stp/>
        <stp>ContractData</stp>
        <stp>CLES1G</stp>
        <stp>NetLastQuoteToday</stp>
        <stp/>
        <stp>T</stp>
        <tr r="X13" s="6"/>
      </tp>
      <tp>
        <v>0.06</v>
        <stp/>
        <stp>ContractData</stp>
        <stp>CLES1F</stp>
        <stp>NetLastQuoteToday</stp>
        <stp/>
        <stp>T</stp>
        <tr r="X12" s="6"/>
      </tp>
      <tp>
        <v>9.9999999999999978E-2</v>
        <stp/>
        <stp>ContractData</stp>
        <stp>CLES1X</stp>
        <stp>NetLastQuoteToday</stp>
        <stp/>
        <stp>T</stp>
        <tr r="X10" s="6"/>
      </tp>
      <tp>
        <v>7.0000000000000007E-2</v>
        <stp/>
        <stp>ContractData</stp>
        <stp>CLES1Z</stp>
        <stp>NetLastQuoteToday</stp>
        <stp/>
        <stp>T</stp>
        <tr r="X11" s="6"/>
      </tp>
      <tp>
        <v>8.0000000000000071E-2</v>
        <stp/>
        <stp>ContractData</stp>
        <stp>CLES1U</stp>
        <stp>NetLastQuoteToday</stp>
        <stp/>
        <stp>T</stp>
        <tr r="X8" s="6"/>
      </tp>
      <tp>
        <v>8.0000000000000071E-2</v>
        <stp/>
        <stp>ContractData</stp>
        <stp>CLES1V</stp>
        <stp>NetLastQuoteToday</stp>
        <stp/>
        <stp>T</stp>
        <tr r="X9" s="6"/>
      </tp>
      <tp>
        <v>7.999999999999996E-2</v>
        <stp/>
        <stp>ContractData</stp>
        <stp>CLES1Q</stp>
        <stp>NetLastQuoteToday</stp>
        <stp/>
        <stp>T</stp>
        <tr r="X7" s="6"/>
      </tp>
      <tp>
        <v>-0.04</v>
        <stp/>
        <stp>StudyData</stp>
        <stp>Consolidate(CLES1?7-CLES1?8,5X,CLES1?7-CLES1?8,1,0)</stp>
        <stp>Bar</stp>
        <stp/>
        <stp>Close</stp>
        <stp>D</stp>
        <stp>-1</stp>
        <stp/>
        <stp/>
        <stp/>
        <stp/>
        <stp>T</stp>
        <tr r="I50" s="2"/>
        <tr r="U40" s="6"/>
      </tp>
      <tp>
        <v>2</v>
        <stp/>
        <stp>ContractData</stp>
        <stp>CLEH5</stp>
        <stp>MT_LastBidVolume</stp>
        <tr r="C9" s="2"/>
      </tp>
      <tp t="s">
        <v>Crude Light (Globex) Calendar Spread 1, Sep 15, Oct 15</v>
        <stp/>
        <stp>ContractData</stp>
        <stp>CLES1?8</stp>
        <stp>LongDescription</stp>
        <tr r="B51" s="2"/>
        <tr r="B50" s="2"/>
      </tp>
      <tp t="s">
        <v>Crude Light (Globex) Calendar Spread 1, Oct 15, Nov 15</v>
        <stp/>
        <stp>ContractData</stp>
        <stp>CLES1?9</stp>
        <stp>LongDescription</stp>
        <tr r="B51" s="2"/>
        <tr r="B52" s="2"/>
      </tp>
      <tp t="s">
        <v>Crude Light (Globex) Calendar Spread 1, Mar 15, Apr 15</v>
        <stp/>
        <stp>ContractData</stp>
        <stp>CLES1?2</stp>
        <stp>LongDescription</stp>
        <tr r="B45" s="2"/>
        <tr r="B44" s="2"/>
      </tp>
      <tp t="s">
        <v>Crude Light (Globex) Calendar Spread 1, Apr 15, May 15</v>
        <stp/>
        <stp>ContractData</stp>
        <stp>CLES1?3</stp>
        <stp>LongDescription</stp>
        <tr r="B45" s="2"/>
        <tr r="B46" s="2"/>
      </tp>
      <tp t="s">
        <v>Crude Light (Globex) Calendar Spread 1, Feb 15, Mar 15</v>
        <stp/>
        <stp>ContractData</stp>
        <stp>CLES1?1</stp>
        <stp>LongDescription</stp>
        <tr r="B44" s="2"/>
      </tp>
      <tp t="s">
        <v>Crude Light (Globex) Calendar Spread 1, Jul 15, Aug 15</v>
        <stp/>
        <stp>ContractData</stp>
        <stp>CLES1?6</stp>
        <stp>LongDescription</stp>
        <tr r="B48" s="2"/>
        <tr r="B49" s="2"/>
      </tp>
      <tp t="s">
        <v>Crude Light (Globex) Calendar Spread 1, Aug 15, Sep 15</v>
        <stp/>
        <stp>ContractData</stp>
        <stp>CLES1?7</stp>
        <stp>LongDescription</stp>
        <tr r="B49" s="2"/>
        <tr r="B50" s="2"/>
      </tp>
      <tp t="s">
        <v>Crude Light (Globex) Calendar Spread 1, May 15, Jun 15</v>
        <stp/>
        <stp>ContractData</stp>
        <stp>CLES1?4</stp>
        <stp>LongDescription</stp>
        <tr r="B47" s="2"/>
        <tr r="B46" s="2"/>
      </tp>
      <tp t="s">
        <v>Crude Light (Globex) Calendar Spread 1, Jun 15, Jul 15</v>
        <stp/>
        <stp>ContractData</stp>
        <stp>CLES1?5</stp>
        <stp>LongDescription</stp>
        <tr r="B48" s="2"/>
        <tr r="B47" s="2"/>
      </tp>
      <tp t="s">
        <v>Crude Light (Globex) Calendar Spread 1, Aug 15, Sep 15</v>
        <stp/>
        <stp>ContractData</stp>
        <stp>CLES1Q5</stp>
        <stp>LongDescription</stp>
        <tr r="B34" s="2"/>
      </tp>
      <tp t="s">
        <v>Crude Light (Globex) Calendar Spread 1, Sep 15, Oct 15</v>
        <stp/>
        <stp>ContractData</stp>
        <stp>CLES1U5</stp>
        <stp>LongDescription</stp>
        <tr r="B35" s="2"/>
      </tp>
      <tp t="s">
        <v>Crude Light (Globex) Calendar Spread 1, Oct 15, Nov 15</v>
        <stp/>
        <stp>ContractData</stp>
        <stp>CLES1V5</stp>
        <stp>LongDescription</stp>
        <tr r="B36" s="2"/>
      </tp>
      <tp t="s">
        <v>Crude Light (Globex) Calendar Spread 1, Nov 15, Dec 15</v>
        <stp/>
        <stp>ContractData</stp>
        <stp>CLES1X5</stp>
        <stp>LongDescription</stp>
        <tr r="B37" s="2"/>
      </tp>
      <tp t="s">
        <v>Crude Light (Globex) Calendar Spread 1, Dec 15, Jan 16</v>
        <stp/>
        <stp>ContractData</stp>
        <stp>CLES1Z5</stp>
        <stp>LongDescription</stp>
        <tr r="B38" s="2"/>
      </tp>
      <tp t="s">
        <v>Crude Light (Globex) Calendar Spread 1, Jan 16, Feb 16</v>
        <stp/>
        <stp>ContractData</stp>
        <stp>CLES1F6</stp>
        <stp>LongDescription</stp>
        <tr r="B39" s="2"/>
      </tp>
      <tp t="s">
        <v>Crude Light (Globex) Calendar Spread 1, Feb 15, Mar 15</v>
        <stp/>
        <stp>ContractData</stp>
        <stp>CLES1G5</stp>
        <stp>LongDescription</stp>
        <tr r="B28" s="2"/>
      </tp>
      <tp t="s">
        <v>Crude Light (Globex) Calendar Spread 1, Mar 15, Apr 15</v>
        <stp/>
        <stp>ContractData</stp>
        <stp>CLES1H5</stp>
        <stp>LongDescription</stp>
        <tr r="B29" s="2"/>
      </tp>
      <tp t="s">
        <v>Crude Light (Globex) Calendar Spread 1, Apr 15, May 15</v>
        <stp/>
        <stp>ContractData</stp>
        <stp>CLES1J5</stp>
        <stp>LongDescription</stp>
        <tr r="B30" s="2"/>
      </tp>
      <tp t="s">
        <v>Crude Light (Globex) Calendar Spread 1, May 15, Jun 15</v>
        <stp/>
        <stp>ContractData</stp>
        <stp>CLES1K5</stp>
        <stp>LongDescription</stp>
        <tr r="B31" s="2"/>
      </tp>
      <tp t="s">
        <v>Crude Light (Globex) Calendar Spread 1, Jun 15, Jul 15</v>
        <stp/>
        <stp>ContractData</stp>
        <stp>CLES1M5</stp>
        <stp>LongDescription</stp>
        <tr r="B32" s="2"/>
      </tp>
      <tp t="s">
        <v>Crude Light (Globex) Calendar Spread 1, Jul 15, Aug 15</v>
        <stp/>
        <stp>ContractData</stp>
        <stp>CLES1N5</stp>
        <stp>LongDescription</stp>
        <tr r="B33" s="2"/>
      </tp>
      <tp>
        <v>-0.63</v>
        <stp/>
        <stp>ContractData</stp>
        <stp>CLES1H</stp>
        <stp>LastTradeorSettle</stp>
        <stp/>
        <stp>T</stp>
        <tr r="W2" s="6"/>
      </tp>
      <tp>
        <v>-0.74</v>
        <stp/>
        <stp>ContractData</stp>
        <stp>CLES1K</stp>
        <stp>LastTradeorSettle</stp>
        <stp/>
        <stp>T</stp>
        <tr r="W4" s="6"/>
      </tp>
      <tp>
        <v>-0.74</v>
        <stp/>
        <stp>ContractData</stp>
        <stp>CLES1J</stp>
        <stp>LastTradeorSettle</stp>
        <stp/>
        <stp>T</stp>
        <tr r="W3" s="6"/>
      </tp>
      <tp>
        <v>-0.70000000000000007</v>
        <stp/>
        <stp>ContractData</stp>
        <stp>CLES1M</stp>
        <stp>LastTradeorSettle</stp>
        <stp/>
        <stp>T</stp>
        <tr r="W5" s="6"/>
      </tp>
      <tp>
        <v>-0.65</v>
        <stp/>
        <stp>ContractData</stp>
        <stp>CLES1N</stp>
        <stp>LastTradeorSettle</stp>
        <stp/>
        <stp>T</stp>
        <tr r="W6" s="6"/>
      </tp>
      <tp>
        <v>-0.44</v>
        <stp/>
        <stp>ContractData</stp>
        <stp>CLES1G</stp>
        <stp>LastTradeorSettle</stp>
        <stp/>
        <stp>T</stp>
        <tr r="W13" s="6"/>
      </tp>
      <tp>
        <v>-0.45</v>
        <stp/>
        <stp>ContractData</stp>
        <stp>CLES1F</stp>
        <stp>LastTradeorSettle</stp>
        <stp/>
        <stp>T</stp>
        <tr r="W12" s="6"/>
      </tp>
      <tp>
        <v>-0.57000000000000006</v>
        <stp/>
        <stp>ContractData</stp>
        <stp>CLES1X</stp>
        <stp>LastTradeorSettle</stp>
        <stp/>
        <stp>T</stp>
        <tr r="W10" s="6"/>
      </tp>
      <tp>
        <v>-0.45</v>
        <stp/>
        <stp>ContractData</stp>
        <stp>CLES1Z</stp>
        <stp>LastTradeorSettle</stp>
        <stp/>
        <stp>T</stp>
        <tr r="W11" s="6"/>
      </tp>
      <tp>
        <v>-0.65</v>
        <stp/>
        <stp>ContractData</stp>
        <stp>CLES1Q</stp>
        <stp>LastTradeorSettle</stp>
        <stp/>
        <stp>T</stp>
        <tr r="W7" s="6"/>
      </tp>
      <tp>
        <v>-0.59</v>
        <stp/>
        <stp>ContractData</stp>
        <stp>CLES1U</stp>
        <stp>LastTradeorSettle</stp>
        <stp/>
        <stp>T</stp>
        <tr r="W8" s="6"/>
      </tp>
      <tp>
        <v>-0.57999999999999996</v>
        <stp/>
        <stp>ContractData</stp>
        <stp>CLES1V</stp>
        <stp>LastTradeorSettle</stp>
        <stp/>
        <stp>T</stp>
        <tr r="W9" s="6"/>
      </tp>
      <tp>
        <v>1.3200000000000003</v>
        <stp/>
        <stp>ContractData</stp>
        <stp>F.CLE?11</stp>
        <stp>NetLastQuoteToday</stp>
        <stp/>
        <stp>T</stp>
        <tr r="U12" s="6"/>
      </tp>
      <tp>
        <v>1.3999999999999986</v>
        <stp/>
        <stp>ContractData</stp>
        <stp>F.CLE?10</stp>
        <stp>NetLastQuoteToday</stp>
        <stp/>
        <stp>T</stp>
        <tr r="U11" s="6"/>
      </tp>
      <tp>
        <v>1.240000000000002</v>
        <stp/>
        <stp>ContractData</stp>
        <stp>F.CLE?12</stp>
        <stp>NetLastQuoteToday</stp>
        <stp/>
        <stp>T</stp>
        <tr r="U13" s="6"/>
      </tp>
      <tp>
        <v>-0.01</v>
        <stp/>
        <stp>StudyData</stp>
        <stp>Consolidate(CLES1?9-CLES1?10,5X,CLES1?9-CLES1?10,1,0)</stp>
        <stp>Bar</stp>
        <stp/>
        <stp>Open</stp>
        <stp>D</stp>
        <stp/>
        <stp/>
        <stp/>
        <stp/>
        <stp/>
        <stp>T</stp>
        <tr r="E52" s="2"/>
      </tp>
      <tp>
        <v>49.59</v>
        <stp/>
        <stp>ContractData</stp>
        <stp>CLEN5</stp>
        <stp>Low</stp>
        <stp/>
        <stp>T</stp>
        <tr r="E18" s="2"/>
      </tp>
      <tp>
        <v>48.78</v>
        <stp/>
        <stp>ContractData</stp>
        <stp>CLEM5</stp>
        <stp>Low</stp>
        <stp/>
        <stp>T</stp>
        <tr r="E17" s="2"/>
      </tp>
      <tp>
        <v>47.17</v>
        <stp/>
        <stp>ContractData</stp>
        <stp>CLEJ5</stp>
        <stp>Low</stp>
        <stp/>
        <stp>T</stp>
        <tr r="E15" s="2"/>
      </tp>
      <tp>
        <v>47.99</v>
        <stp/>
        <stp>ContractData</stp>
        <stp>CLEK5</stp>
        <stp>Low</stp>
        <stp/>
        <stp>T</stp>
        <tr r="E16" s="2"/>
      </tp>
      <tp>
        <v>46.4</v>
        <stp/>
        <stp>ContractData</stp>
        <stp>CLEH5</stp>
        <stp>Low</stp>
        <stp/>
        <stp>T</stp>
        <tr r="E14" s="2"/>
      </tp>
      <tp>
        <v>45.95</v>
        <stp/>
        <stp>ContractData</stp>
        <stp>CLEG5</stp>
        <stp>Low</stp>
        <stp/>
        <stp>T</stp>
        <tr r="E13" s="2"/>
      </tp>
      <tp>
        <v>52.9</v>
        <stp/>
        <stp>ContractData</stp>
        <stp>CLEZ5</stp>
        <stp>Low</stp>
        <stp/>
        <stp>T</stp>
        <tr r="E23" s="2"/>
      </tp>
      <tp>
        <v>53.14</v>
        <stp/>
        <stp>ContractData</stp>
        <stp>CLEX5</stp>
        <stp>Low</stp>
        <stp/>
        <stp>T</stp>
        <tr r="E22" s="2"/>
      </tp>
      <tp>
        <v>52.4</v>
        <stp/>
        <stp>ContractData</stp>
        <stp>CLEV5</stp>
        <stp>Low</stp>
        <stp/>
        <stp>T</stp>
        <tr r="E21" s="2"/>
      </tp>
      <tp>
        <v>51.42</v>
        <stp/>
        <stp>ContractData</stp>
        <stp>CLEU5</stp>
        <stp>Low</stp>
        <stp/>
        <stp>T</stp>
        <tr r="E20" s="2"/>
      </tp>
      <tp>
        <v>50.25</v>
        <stp/>
        <stp>ContractData</stp>
        <stp>CLEQ5</stp>
        <stp>Low</stp>
        <stp/>
        <stp>T</stp>
        <tr r="E19" s="2"/>
      </tp>
      <tp>
        <v>-0.01</v>
        <stp/>
        <stp>StudyData</stp>
        <stp>Consolidate(CLES1?9-CLES1?10,5X,CLES1?9-CLES1?10,1,0)</stp>
        <stp>Bar</stp>
        <stp/>
        <stp>High</stp>
        <stp>D</stp>
        <stp/>
        <stp/>
        <stp/>
        <stp/>
        <stp/>
        <stp>T</stp>
        <tr r="F52" s="2"/>
      </tp>
      <tp>
        <v>52.27</v>
        <stp/>
        <stp>ContractData</stp>
        <stp>CLEQ5</stp>
        <stp>Ask</stp>
        <stp/>
        <stp>T</stp>
        <tr r="O8" s="2"/>
        <tr r="T7" s="6"/>
      </tp>
      <tp>
        <v>53.63</v>
        <stp/>
        <stp>ContractData</stp>
        <stp>CLEV5</stp>
        <stp>Ask</stp>
        <stp/>
        <stp>T</stp>
        <tr r="Q8" s="2"/>
        <tr r="T9" s="6"/>
      </tp>
      <tp>
        <v>52.92</v>
        <stp/>
        <stp>ContractData</stp>
        <stp>CLEU5</stp>
        <stp>Ask</stp>
        <stp/>
        <stp>T</stp>
        <tr r="P8" s="2"/>
        <tr r="T8" s="6"/>
      </tp>
      <tp>
        <v>54.65</v>
        <stp/>
        <stp>ContractData</stp>
        <stp>CLEZ5</stp>
        <stp>Ask</stp>
        <stp/>
        <stp>T</stp>
        <tr r="S8" s="2"/>
        <tr r="T11" s="6"/>
      </tp>
      <tp>
        <v>54.22</v>
        <stp/>
        <stp>ContractData</stp>
        <stp>CLEX5</stp>
        <stp>Ask</stp>
        <stp/>
        <stp>T</stp>
        <tr r="R8" s="2"/>
        <tr r="T10" s="6"/>
      </tp>
      <tp>
        <v>55.300000000000004</v>
        <stp/>
        <stp>ContractData</stp>
        <stp>CLEF6</stp>
        <stp>Ask</stp>
        <stp/>
        <stp>T</stp>
        <tr r="T8" s="2"/>
        <tr r="T12" s="6"/>
      </tp>
      <tp t="s">
        <v/>
        <stp/>
        <stp>ContractData</stp>
        <stp>CLEG6</stp>
        <stp>Ask</stp>
        <stp/>
        <stp>T</stp>
        <tr r="U8" s="2"/>
        <tr r="T13" s="6"/>
      </tp>
      <tp>
        <v>49.42</v>
        <stp/>
        <stp>ContractData</stp>
        <stp>CLEJ5</stp>
        <stp>Ask</stp>
        <stp/>
        <stp>T</stp>
        <tr r="K8" s="2"/>
        <tr r="T3" s="6"/>
      </tp>
      <tp>
        <v>50.17</v>
        <stp/>
        <stp>ContractData</stp>
        <stp>CLEK5</stp>
        <stp>Ask</stp>
        <stp/>
        <stp>T</stp>
        <tr r="L8" s="2"/>
        <tr r="T4" s="6"/>
      </tp>
      <tp>
        <v>48.78</v>
        <stp/>
        <stp>ContractData</stp>
        <stp>CLEH5</stp>
        <stp>Ask</stp>
        <stp/>
        <stp>T</stp>
        <tr r="J8" s="2"/>
        <tr r="D7" s="2"/>
        <tr r="T2" s="6"/>
      </tp>
      <tp>
        <v>51.620000000000005</v>
        <stp/>
        <stp>ContractData</stp>
        <stp>CLEN5</stp>
        <stp>Ask</stp>
        <stp/>
        <stp>T</stp>
        <tr r="N8" s="2"/>
        <tr r="T6" s="6"/>
      </tp>
      <tp>
        <v>50.910000000000004</v>
        <stp/>
        <stp>ContractData</stp>
        <stp>CLEM5</stp>
        <stp>Ask</stp>
        <stp/>
        <stp>T</stp>
        <tr r="M8" s="2"/>
        <tr r="T5" s="6"/>
      </tp>
      <tp>
        <v>48.76</v>
        <stp/>
        <stp>ContractData</stp>
        <stp>CLEH5</stp>
        <stp>Bid</stp>
        <stp/>
        <stp>T</stp>
        <tr r="J9" s="2"/>
        <tr r="D9" s="2"/>
        <tr r="S2" s="6"/>
      </tp>
      <tp>
        <v>49.39</v>
        <stp/>
        <stp>ContractData</stp>
        <stp>CLEJ5</stp>
        <stp>Bid</stp>
        <stp/>
        <stp>T</stp>
        <tr r="K9" s="2"/>
        <tr r="S3" s="6"/>
      </tp>
      <tp>
        <v>50.13</v>
        <stp/>
        <stp>ContractData</stp>
        <stp>CLEK5</stp>
        <stp>Bid</stp>
        <stp/>
        <stp>T</stp>
        <tr r="L9" s="2"/>
        <tr r="S4" s="6"/>
      </tp>
      <tp>
        <v>50.88</v>
        <stp/>
        <stp>ContractData</stp>
        <stp>CLEM5</stp>
        <stp>Bid</stp>
        <stp/>
        <stp>T</stp>
        <tr r="M9" s="2"/>
        <tr r="S5" s="6"/>
      </tp>
      <tp>
        <v>51.58</v>
        <stp/>
        <stp>ContractData</stp>
        <stp>CLEN5</stp>
        <stp>Bid</stp>
        <stp/>
        <stp>T</stp>
        <tr r="N9" s="2"/>
        <tr r="S6" s="6"/>
      </tp>
      <tp>
        <v>55.03</v>
        <stp/>
        <stp>ContractData</stp>
        <stp>CLEF6</stp>
        <stp>Bid</stp>
        <stp/>
        <stp>T</stp>
        <tr r="T9" s="2"/>
        <tr r="S12" s="6"/>
      </tp>
      <tp>
        <v>48</v>
        <stp/>
        <stp>ContractData</stp>
        <stp>CLEG6</stp>
        <stp>Bid</stp>
        <stp/>
        <stp>T</stp>
        <tr r="U9" s="2"/>
        <tr r="S13" s="6"/>
      </tp>
      <tp>
        <v>54.02</v>
        <stp/>
        <stp>ContractData</stp>
        <stp>CLEX5</stp>
        <stp>Bid</stp>
        <stp/>
        <stp>T</stp>
        <tr r="R9" s="2"/>
        <tr r="S10" s="6"/>
      </tp>
      <tp>
        <v>54.59</v>
        <stp/>
        <stp>ContractData</stp>
        <stp>CLEZ5</stp>
        <stp>Bid</stp>
        <stp/>
        <stp>T</stp>
        <tr r="S9" s="2"/>
        <tr r="S11" s="6"/>
      </tp>
      <tp>
        <v>52.22</v>
        <stp/>
        <stp>ContractData</stp>
        <stp>CLEQ5</stp>
        <stp>Bid</stp>
        <stp/>
        <stp>T</stp>
        <tr r="O9" s="2"/>
        <tr r="S7" s="6"/>
      </tp>
      <tp>
        <v>52.86</v>
        <stp/>
        <stp>ContractData</stp>
        <stp>CLEU5</stp>
        <stp>Bid</stp>
        <stp/>
        <stp>T</stp>
        <tr r="P9" s="2"/>
        <tr r="S8" s="6"/>
      </tp>
      <tp>
        <v>53.44</v>
        <stp/>
        <stp>ContractData</stp>
        <stp>CLEV5</stp>
        <stp>Bid</stp>
        <stp/>
        <stp>T</stp>
        <tr r="Q9" s="2"/>
        <tr r="S9" s="6"/>
      </tp>
      <tp>
        <v>1.7899999999999991</v>
        <stp/>
        <stp>ContractData</stp>
        <stp>CLEM5</stp>
        <stp>NetLastTradeToday</stp>
        <stp/>
        <stp>T</stp>
        <tr r="G17" s="2"/>
        <tr r="H17" s="2"/>
      </tp>
      <tp>
        <v>-7.0000000000000007E-2</v>
        <stp/>
        <stp>ContractData</stp>
        <stp>SPREAD(CLES1?7-CLES1?8)</stp>
        <stp>Bid</stp>
        <stp/>
        <stp>T</stp>
        <tr r="Q43" s="2"/>
      </tp>
      <tp>
        <v>0.1</v>
        <stp/>
        <stp>ContractData</stp>
        <stp>SPREAD(CLES1?2-CLES1?3)</stp>
        <stp>Bid</stp>
        <stp/>
        <stp>T</stp>
        <tr r="L43" s="2"/>
      </tp>
      <tp>
        <v>-0.05</v>
        <stp/>
        <stp>ContractData</stp>
        <stp>SPREAD(CLES1?4-CLES1?5)</stp>
        <stp>Bid</stp>
        <stp/>
        <stp>T</stp>
        <tr r="N43" s="2"/>
      </tp>
      <tp>
        <v>-0.03</v>
        <stp/>
        <stp>ContractData</stp>
        <stp>SPREAD(CLES1?6-CLES1?7)</stp>
        <stp>Bid</stp>
        <stp/>
        <stp>T</stp>
        <tr r="P43" s="2"/>
      </tp>
      <tp>
        <v>-0.03</v>
        <stp/>
        <stp>ContractData</stp>
        <stp>SPREAD(CLES1?8-CLES1?9)</stp>
        <stp>Bid</stp>
        <stp/>
        <stp>T</stp>
        <tr r="R43" s="2"/>
      </tp>
      <tp>
        <v>0.19</v>
        <stp/>
        <stp>ContractData</stp>
        <stp>SPREAD(CLES1?1-CLES1?2)</stp>
        <stp>Bid</stp>
        <stp/>
        <stp>T</stp>
        <tr r="K43" s="2"/>
      </tp>
      <tp>
        <v>-0.06</v>
        <stp/>
        <stp>ContractData</stp>
        <stp>SPREAD(CLES1?5-CLES1?6)</stp>
        <stp>Bid</stp>
        <stp/>
        <stp>T</stp>
        <tr r="O43" s="2"/>
      </tp>
      <tp>
        <v>-0.02</v>
        <stp/>
        <stp>ContractData</stp>
        <stp>SPREAD(CLES1?3-CLES1?4)</stp>
        <stp>Bid</stp>
        <stp/>
        <stp>T</stp>
        <tr r="M43" s="2"/>
      </tp>
      <tp>
        <v>0.21</v>
        <stp/>
        <stp>ContractData</stp>
        <stp>SPREAD(CLES1?1-CLES1?2)</stp>
        <stp>Ask</stp>
        <stp/>
        <stp>T</stp>
        <tr r="K42" s="2"/>
      </tp>
      <tp>
        <v>-0.04</v>
        <stp/>
        <stp>ContractData</stp>
        <stp>SPREAD(CLES1?5-CLES1?6)</stp>
        <stp>Ask</stp>
        <stp/>
        <stp>T</stp>
        <tr r="O42" s="2"/>
      </tp>
      <tp>
        <v>0.12</v>
        <stp/>
        <stp>ContractData</stp>
        <stp>SPREAD(CLES1?2-CLES1?3)</stp>
        <stp>Ask</stp>
        <stp/>
        <stp>T</stp>
        <tr r="L42" s="2"/>
      </tp>
      <tp>
        <v>-0.02</v>
        <stp/>
        <stp>ContractData</stp>
        <stp>SPREAD(CLES1?4-CLES1?5)</stp>
        <stp>Ask</stp>
        <stp/>
        <stp>T</stp>
        <tr r="N42" s="2"/>
      </tp>
      <tp>
        <v>-0.01</v>
        <stp/>
        <stp>ContractData</stp>
        <stp>SPREAD(CLES1?6-CLES1?7)</stp>
        <stp>Ask</stp>
        <stp/>
        <stp>T</stp>
        <tr r="P42" s="2"/>
      </tp>
      <tp>
        <v>0.01</v>
        <stp/>
        <stp>ContractData</stp>
        <stp>SPREAD(CLES1?8-CLES1?9)</stp>
        <stp>Ask</stp>
        <stp/>
        <stp>T</stp>
        <tr r="R42" s="2"/>
      </tp>
      <tp>
        <v>0.01</v>
        <stp/>
        <stp>ContractData</stp>
        <stp>SPREAD(CLES1?3-CLES1?4)</stp>
        <stp>Ask</stp>
        <stp/>
        <stp>T</stp>
        <tr r="M42" s="2"/>
      </tp>
      <tp>
        <v>-0.04</v>
        <stp/>
        <stp>ContractData</stp>
        <stp>SPREAD(CLES1?7-CLES1?8)</stp>
        <stp>Ask</stp>
        <stp/>
        <stp>T</stp>
        <tr r="Q42" s="2"/>
      </tp>
      <tp>
        <v>1.8599999999999994</v>
        <stp/>
        <stp>ContractData</stp>
        <stp>CLEN5</stp>
        <stp>NetLastTradeToday</stp>
        <stp/>
        <stp>T</stp>
        <tr r="G18" s="2"/>
        <tr r="H18" s="2"/>
      </tp>
      <tp>
        <v>-0.14000000000000001</v>
        <stp/>
        <stp>StudyData</stp>
        <stp>Consolidate(CLES1?10-CLES1?11,5X,CLES1?10-CLES1?11,1,0)</stp>
        <stp>Bar</stp>
        <stp/>
        <stp>Open</stp>
        <stp>D</stp>
        <stp/>
        <stp/>
        <stp/>
        <stp/>
        <stp/>
        <stp>T</stp>
        <tr r="E53" s="2"/>
      </tp>
      <tp>
        <v>53.9</v>
        <stp/>
        <stp>ContractData</stp>
        <stp>CLEX5</stp>
        <stp>LastTradeorSettle</stp>
        <stp/>
        <stp>T</stp>
        <tr r="R10" s="2"/>
        <tr r="R10" s="6"/>
        <tr r="F22" s="2"/>
      </tp>
      <tp>
        <v>2.029999999999994</v>
        <stp/>
        <stp>ContractData</stp>
        <stp>CLEH5</stp>
        <stp>NetLastTradeToday</stp>
        <stp/>
        <stp>T</stp>
        <tr r="H9" s="2"/>
        <tr r="G14" s="2"/>
        <tr r="H14" s="2"/>
      </tp>
      <tp>
        <v>1.9199999999999946</v>
        <stp/>
        <stp>ContractData</stp>
        <stp>CLEK5</stp>
        <stp>NetLastTradeToday</stp>
        <stp/>
        <stp>T</stp>
        <tr r="H16" s="2"/>
        <tr r="G16" s="2"/>
      </tp>
      <tp>
        <v>-0.1</v>
        <stp/>
        <stp>StudyData</stp>
        <stp>Consolidate(CLES1?10-CLES1?11,5X,CLES1?10-CLES1?11,1,0)</stp>
        <stp>Bar</stp>
        <stp/>
        <stp>High</stp>
        <stp>D</stp>
        <stp/>
        <stp/>
        <stp/>
        <stp/>
        <stp/>
        <stp>T</stp>
        <tr r="F53" s="2"/>
      </tp>
      <tp>
        <v>54.6</v>
        <stp/>
        <stp>ContractData</stp>
        <stp>CLEZ5</stp>
        <stp>LastTradeorSettle</stp>
        <stp/>
        <stp>T</stp>
        <tr r="S10" s="2"/>
        <tr r="R11" s="6"/>
        <tr r="F23" s="2"/>
      </tp>
      <tp>
        <v>1.9699999999999989</v>
        <stp/>
        <stp>ContractData</stp>
        <stp>CLEJ5</stp>
        <stp>NetLastTradeToday</stp>
        <stp/>
        <stp>T</stp>
        <tr r="G15" s="2"/>
        <tr r="H15" s="2"/>
      </tp>
      <tp>
        <v>-0.54</v>
        <stp/>
        <stp>ContractData</stp>
        <stp>CLES1G5</stp>
        <stp>Low</stp>
        <stp/>
        <stp>T</stp>
        <tr r="E28" s="2"/>
      </tp>
      <tp>
        <v>-0.53</v>
        <stp/>
        <stp>ContractData</stp>
        <stp>CLES1F6</stp>
        <stp>Low</stp>
        <stp/>
        <stp>T</stp>
        <tr r="E39" s="2"/>
      </tp>
      <tp>
        <v>-0.73</v>
        <stp/>
        <stp>ContractData</stp>
        <stp>CLES1N5</stp>
        <stp>Low</stp>
        <stp/>
        <stp>T</stp>
        <tr r="E33" s="2"/>
      </tp>
      <tp>
        <v>-0.76</v>
        <stp/>
        <stp>ContractData</stp>
        <stp>CLES1M5</stp>
        <stp>Low</stp>
        <stp/>
        <stp>T</stp>
        <tr r="E32" s="2"/>
      </tp>
      <tp>
        <v>-0.81</v>
        <stp/>
        <stp>ContractData</stp>
        <stp>CLES1K5</stp>
        <stp>Low</stp>
        <stp/>
        <stp>T</stp>
        <tr r="E31" s="2"/>
      </tp>
      <tp>
        <v>-0.84</v>
        <stp/>
        <stp>ContractData</stp>
        <stp>CLES1J5</stp>
        <stp>Low</stp>
        <stp/>
        <stp>T</stp>
        <tr r="E30" s="2"/>
      </tp>
      <tp>
        <v>-0.77</v>
        <stp/>
        <stp>ContractData</stp>
        <stp>CLES1H5</stp>
        <stp>Low</stp>
        <stp/>
        <stp>T</stp>
        <tr r="E29" s="2"/>
      </tp>
      <tp>
        <v>-0.67</v>
        <stp/>
        <stp>ContractData</stp>
        <stp>CLES1V5</stp>
        <stp>Low</stp>
        <stp/>
        <stp>T</stp>
        <tr r="E36" s="2"/>
      </tp>
      <tp>
        <v>-0.68</v>
        <stp/>
        <stp>ContractData</stp>
        <stp>CLES1U5</stp>
        <stp>Low</stp>
        <stp/>
        <stp>T</stp>
        <tr r="E35" s="2"/>
      </tp>
      <tp>
        <v>-0.74</v>
        <stp/>
        <stp>ContractData</stp>
        <stp>CLES1Q5</stp>
        <stp>Low</stp>
        <stp/>
        <stp>T</stp>
        <tr r="E34" s="2"/>
      </tp>
      <tp>
        <v>-0.53</v>
        <stp/>
        <stp>ContractData</stp>
        <stp>CLES1Z5</stp>
        <stp>Low</stp>
        <stp/>
        <stp>T</stp>
        <tr r="E38" s="2"/>
      </tp>
      <tp>
        <v>-0.66</v>
        <stp/>
        <stp>ContractData</stp>
        <stp>CLES1X5</stp>
        <stp>Low</stp>
        <stp/>
        <stp>T</stp>
        <tr r="E37" s="2"/>
      </tp>
      <tp>
        <v>-0.45</v>
        <stp/>
        <stp>ContractData</stp>
        <stp>CLES1F6</stp>
        <stp>Bid</stp>
        <stp/>
        <stp>T</stp>
        <tr r="U14" s="2"/>
      </tp>
      <tp>
        <v>-0.64</v>
        <stp/>
        <stp>ContractData</stp>
        <stp>CLES1H5</stp>
        <stp>Bid</stp>
        <stp/>
        <stp>T</stp>
        <tr r="K14" s="2"/>
      </tp>
      <tp>
        <v>-0.75</v>
        <stp/>
        <stp>ContractData</stp>
        <stp>CLES1K5</stp>
        <stp>Bid</stp>
        <stp/>
        <stp>T</stp>
        <tr r="M14" s="2"/>
      </tp>
      <tp>
        <v>-0.75</v>
        <stp/>
        <stp>ContractData</stp>
        <stp>CLES1J5</stp>
        <stp>Bid</stp>
        <stp/>
        <stp>T</stp>
        <tr r="L14" s="2"/>
      </tp>
      <tp>
        <v>-0.71</v>
        <stp/>
        <stp>ContractData</stp>
        <stp>CLES1M5</stp>
        <stp>Bid</stp>
        <stp/>
        <stp>T</stp>
        <tr r="N14" s="2"/>
      </tp>
      <tp>
        <v>-0.66</v>
        <stp/>
        <stp>ContractData</stp>
        <stp>CLES1N5</stp>
        <stp>Bid</stp>
        <stp/>
        <stp>T</stp>
        <tr r="O14" s="2"/>
      </tp>
      <tp>
        <v>-0.64</v>
        <stp/>
        <stp>ContractData</stp>
        <stp>CLES1Q5</stp>
        <stp>Bid</stp>
        <stp/>
        <stp>T</stp>
        <tr r="P14" s="2"/>
      </tp>
      <tp>
        <v>-0.59</v>
        <stp/>
        <stp>ContractData</stp>
        <stp>CLES1U5</stp>
        <stp>Bid</stp>
        <stp/>
        <stp>T</stp>
        <tr r="Q14" s="2"/>
      </tp>
      <tp>
        <v>-0.57999999999999996</v>
        <stp/>
        <stp>ContractData</stp>
        <stp>CLES1V5</stp>
        <stp>Bid</stp>
        <stp/>
        <stp>T</stp>
        <tr r="R14" s="2"/>
      </tp>
      <tp>
        <v>-0.57000000000000006</v>
        <stp/>
        <stp>ContractData</stp>
        <stp>CLES1X5</stp>
        <stp>Bid</stp>
        <stp/>
        <stp>T</stp>
        <tr r="S14" s="2"/>
      </tp>
      <tp>
        <v>-0.45</v>
        <stp/>
        <stp>ContractData</stp>
        <stp>CLES1Z5</stp>
        <stp>Bid</stp>
        <stp/>
        <stp>T</stp>
        <tr r="T14" s="2"/>
      </tp>
      <tp>
        <v>-0.44</v>
        <stp/>
        <stp>ContractData</stp>
        <stp>CLES1Z5</stp>
        <stp>Ask</stp>
        <stp/>
        <stp>T</stp>
        <tr r="T13" s="2"/>
      </tp>
      <tp>
        <v>-0.55000000000000004</v>
        <stp/>
        <stp>ContractData</stp>
        <stp>CLES1X5</stp>
        <stp>Ask</stp>
        <stp/>
        <stp>T</stp>
        <tr r="S13" s="2"/>
      </tp>
      <tp>
        <v>-0.63</v>
        <stp/>
        <stp>ContractData</stp>
        <stp>CLES1Q5</stp>
        <stp>Ask</stp>
        <stp/>
        <stp>T</stp>
        <tr r="P13" s="2"/>
      </tp>
      <tp>
        <v>-0.56000000000000005</v>
        <stp/>
        <stp>ContractData</stp>
        <stp>CLES1V5</stp>
        <stp>Ask</stp>
        <stp/>
        <stp>T</stp>
        <tr r="R13" s="2"/>
      </tp>
      <tp>
        <v>-0.57000000000000006</v>
        <stp/>
        <stp>ContractData</stp>
        <stp>CLES1U5</stp>
        <stp>Ask</stp>
        <stp/>
        <stp>T</stp>
        <tr r="Q13" s="2"/>
      </tp>
      <tp>
        <v>-0.73</v>
        <stp/>
        <stp>ContractData</stp>
        <stp>CLES1K5</stp>
        <stp>Ask</stp>
        <stp/>
        <stp>T</stp>
        <tr r="M13" s="2"/>
      </tp>
      <tp>
        <v>-0.74</v>
        <stp/>
        <stp>ContractData</stp>
        <stp>CLES1J5</stp>
        <stp>Ask</stp>
        <stp/>
        <stp>T</stp>
        <tr r="L13" s="2"/>
      </tp>
      <tp>
        <v>-0.63</v>
        <stp/>
        <stp>ContractData</stp>
        <stp>CLES1H5</stp>
        <stp>Ask</stp>
        <stp/>
        <stp>T</stp>
        <tr r="K13" s="2"/>
      </tp>
      <tp>
        <v>-0.65</v>
        <stp/>
        <stp>ContractData</stp>
        <stp>CLES1N5</stp>
        <stp>Ask</stp>
        <stp/>
        <stp>T</stp>
        <tr r="O13" s="2"/>
      </tp>
      <tp>
        <v>-0.70000000000000007</v>
        <stp/>
        <stp>ContractData</stp>
        <stp>CLES1M5</stp>
        <stp>Ask</stp>
        <stp/>
        <stp>T</stp>
        <tr r="N13" s="2"/>
      </tp>
      <tp>
        <v>-0.44</v>
        <stp/>
        <stp>ContractData</stp>
        <stp>CLES1F6</stp>
        <stp>Ask</stp>
        <stp/>
        <stp>T</stp>
        <tr r="U13" s="2"/>
      </tp>
      <tp>
        <v>-0.12</v>
        <stp/>
        <stp>StudyData</stp>
        <stp>Consolidate(CLES1?10-CLES1?11,5X,CLES1?10-CLES1?11,1,0)</stp>
        <stp>Bar</stp>
        <stp/>
        <stp>Close</stp>
        <stp>D</stp>
        <stp>0</stp>
        <stp/>
        <stp/>
        <stp/>
        <stp/>
        <stp>T</stp>
        <tr r="I53" s="2"/>
      </tp>
      <tp>
        <v>53.13</v>
        <stp/>
        <stp>ContractData</stp>
        <stp>CLEU5</stp>
        <stp>LastTradeorSettle</stp>
        <stp/>
        <stp>T</stp>
        <tr r="P10" s="2"/>
        <tr r="R8" s="6"/>
        <tr r="F20" s="2"/>
      </tp>
      <tp t="s">
        <v>MAR</v>
        <stp/>
        <stp>ContractData</stp>
        <stp>CLE?</stp>
        <stp>ContractMonth</stp>
        <tr r="R35" s="6"/>
      </tp>
      <tp>
        <v>2.1000000000000014</v>
        <stp/>
        <stp>ContractData</stp>
        <stp>CLEG5</stp>
        <stp>NetLastTradeToday</stp>
        <stp/>
        <stp>T</stp>
        <tr r="G13" s="2"/>
        <tr r="H13" s="2"/>
      </tp>
      <tp t="s">
        <v>Crude Light (Globex), Nov 15</v>
        <stp/>
        <stp>ContractData</stp>
        <stp>CLEX5</stp>
        <stp>LongDescription</stp>
        <tr r="B22" s="2"/>
      </tp>
      <tp t="s">
        <v>Crude Light (Globex), Dec 15</v>
        <stp/>
        <stp>ContractData</stp>
        <stp>CLEZ5</stp>
        <stp>LongDescription</stp>
        <tr r="B23" s="2"/>
      </tp>
      <tp t="s">
        <v>Crude Light (Globex), Aug 15</v>
        <stp/>
        <stp>ContractData</stp>
        <stp>CLEQ5</stp>
        <stp>LongDescription</stp>
        <tr r="B19" s="2"/>
      </tp>
      <tp t="s">
        <v>Crude Light (Globex), Sep 15</v>
        <stp/>
        <stp>ContractData</stp>
        <stp>CLEU5</stp>
        <stp>LongDescription</stp>
        <tr r="B20" s="2"/>
      </tp>
      <tp t="s">
        <v>Crude Light (Globex), Oct 15</v>
        <stp/>
        <stp>ContractData</stp>
        <stp>CLEV5</stp>
        <stp>LongDescription</stp>
        <tr r="B21" s="2"/>
      </tp>
      <tp t="s">
        <v>Crude Light (Globex), Mar 15</v>
        <stp/>
        <stp>ContractData</stp>
        <stp>CLEH5</stp>
        <stp>LongDescription</stp>
        <tr r="B4" s="2"/>
        <tr r="B14" s="2"/>
      </tp>
      <tp t="s">
        <v>Crude Light (Globex), May 15</v>
        <stp/>
        <stp>ContractData</stp>
        <stp>CLEK5</stp>
        <stp>LongDescription</stp>
        <tr r="B16" s="2"/>
      </tp>
      <tp t="s">
        <v>Crude Light (Globex), Apr 15</v>
        <stp/>
        <stp>ContractData</stp>
        <stp>CLEJ5</stp>
        <stp>LongDescription</stp>
        <tr r="B15" s="2"/>
      </tp>
      <tp t="s">
        <v>Crude Light (Globex), Jun 15</v>
        <stp/>
        <stp>ContractData</stp>
        <stp>CLEM5</stp>
        <stp>LongDescription</stp>
        <tr r="B17" s="2"/>
      </tp>
      <tp t="s">
        <v>Crude Light (Globex), Jul 15</v>
        <stp/>
        <stp>ContractData</stp>
        <stp>CLEN5</stp>
        <stp>LongDescription</stp>
        <tr r="B18" s="2"/>
      </tp>
      <tp t="s">
        <v>Crude Light (Globex), Feb 15</v>
        <stp/>
        <stp>ContractData</stp>
        <stp>CLEG5</stp>
        <stp>LongDescription</stp>
        <tr r="B13" s="2"/>
      </tp>
      <tp>
        <v>53.69</v>
        <stp/>
        <stp>ContractData</stp>
        <stp>CLEV5</stp>
        <stp>LastTradeorSettle</stp>
        <stp/>
        <stp>T</stp>
        <tr r="Q10" s="2"/>
        <tr r="R9" s="6"/>
        <tr r="F21" s="2"/>
      </tp>
      <tp>
        <v>52.4</v>
        <stp/>
        <stp>ContractData</stp>
        <stp>CLEQ5</stp>
        <stp>LastTradeorSettle</stp>
        <stp/>
        <stp>T</stp>
        <tr r="O10" s="2"/>
        <tr r="R7" s="6"/>
        <tr r="F19" s="2"/>
      </tp>
      <tp t="s">
        <v>Crude Light (Globex) Calendar Spread 1, Nov 15, Dec 15</v>
        <stp/>
        <stp>ContractData</stp>
        <stp>CLES1?10</stp>
        <stp>LongDescription</stp>
        <tr r="B53" s="2"/>
        <tr r="B52" s="2"/>
      </tp>
      <tp t="s">
        <v>Crude Light (Globex) Calendar Spread 1, Dec 15, Jan 16</v>
        <stp/>
        <stp>ContractData</stp>
        <stp>CLES1?11</stp>
        <stp>LongDescription</stp>
        <tr r="B53" s="2"/>
      </tp>
      <tp>
        <v>50.89</v>
        <stp/>
        <stp>ContractData</stp>
        <stp>CLEM5</stp>
        <stp>LastTradeorSettle</stp>
        <stp/>
        <stp>T</stp>
        <tr r="M10" s="2"/>
        <tr r="R5" s="6"/>
        <tr r="F17" s="2"/>
      </tp>
      <tp>
        <v>-0.04</v>
        <stp/>
        <stp>StudyData</stp>
        <stp>Consolidate(CLES1?3-CLES1?4,5X,CLES1?3-CLES1?4,1,0)</stp>
        <stp>Bar</stp>
        <stp/>
        <stp>Low</stp>
        <stp>D</stp>
        <stp/>
        <stp/>
        <stp/>
        <stp/>
        <stp/>
        <stp>T</stp>
        <tr r="G46" s="2"/>
      </tp>
      <tp>
        <v>51.71</v>
        <stp/>
        <stp>ContractData</stp>
        <stp>CLEN5</stp>
        <stp>LastTradeorSettle</stp>
        <stp/>
        <stp>T</stp>
        <tr r="N10" s="2"/>
        <tr r="R6" s="6"/>
        <tr r="F18" s="2"/>
      </tp>
      <tp>
        <v>-0.14000000000000001</v>
        <stp/>
        <stp>StudyData</stp>
        <stp>Consolidate(CLES1?10-CLES1?11,5X,CLES1?10-CLES11?2,1,0)</stp>
        <stp>Bar</stp>
        <stp/>
        <stp>Close</stp>
        <stp>D</stp>
        <stp>-1</stp>
        <stp/>
        <stp/>
        <stp/>
        <stp/>
        <stp>T</stp>
        <tr r="U43" s="6"/>
      </tp>
      <tp>
        <v>-0.14000000000000001</v>
        <stp/>
        <stp>StudyData</stp>
        <stp>Consolidate(CLES1?10-CLES1?11,5X,CLES1?10-CLES1?11,1,0)</stp>
        <stp>Bar</stp>
        <stp/>
        <stp>Close</stp>
        <stp>D</stp>
        <stp>-1</stp>
        <stp/>
        <stp/>
        <stp/>
        <stp/>
        <stp>T</stp>
        <tr r="I53" s="2"/>
      </tp>
      <tp>
        <v>0.04</v>
        <stp/>
        <stp>StudyData</stp>
        <stp>Consolidate(CLES1?2-CLES1?3,5X,CLES1?2-CLES1?3,1,0)</stp>
        <stp>Bar</stp>
        <stp/>
        <stp>Low</stp>
        <stp>D</stp>
        <stp/>
        <stp/>
        <stp/>
        <stp/>
        <stp/>
        <stp>T</stp>
        <tr r="G45" s="2"/>
      </tp>
      <tp>
        <v>-7.0000000000000007E-2</v>
        <stp/>
        <stp>StudyData</stp>
        <stp>Consolidate(CLES1?4-CLES1?5,5X,CLES1?4-CLES1?5,1,0)</stp>
        <stp>Bar</stp>
        <stp/>
        <stp>Low</stp>
        <stp>D</stp>
        <stp/>
        <stp/>
        <stp/>
        <stp/>
        <stp/>
        <stp>T</stp>
        <tr r="G47" s="2"/>
      </tp>
      <tp>
        <v>-0.02</v>
        <stp/>
        <stp>StudyData</stp>
        <stp>Consolidate(CLES1?6-CLES1?7,5X,CLES1?6-CLES1?7,1,0)</stp>
        <stp>Bar</stp>
        <stp/>
        <stp>Low</stp>
        <stp>D</stp>
        <stp/>
        <stp/>
        <stp/>
        <stp/>
        <stp/>
        <stp>T</stp>
        <tr r="G49" s="2"/>
      </tp>
      <tp>
        <v>-0.02</v>
        <stp/>
        <stp>StudyData</stp>
        <stp>Consolidate(CLES1?8-CLES1?9,5X,CLES1?8-CLES1?9,1,0)</stp>
        <stp>Bar</stp>
        <stp/>
        <stp>Low</stp>
        <stp>D</stp>
        <stp/>
        <stp/>
        <stp/>
        <stp/>
        <stp/>
        <stp>T</stp>
        <tr r="G51" s="2"/>
      </tp>
      <tp>
        <v>48.76</v>
        <stp/>
        <stp>ContractData</stp>
        <stp>CLEH5</stp>
        <stp>LastTradeorSettle</stp>
        <stp/>
        <stp>T</stp>
        <tr r="J10" s="2"/>
        <tr r="F9" s="2"/>
        <tr r="R2" s="6"/>
        <tr r="F14" s="2"/>
      </tp>
      <tp>
        <v>1.279999999999994</v>
        <stp/>
        <stp>ContractData</stp>
        <stp>CLEX5</stp>
        <stp>NetLastTradeToday</stp>
        <stp/>
        <stp>T</stp>
        <tr r="G22" s="2"/>
        <tr r="H22" s="2"/>
      </tp>
      <tp>
        <v>50.22</v>
        <stp/>
        <stp>ContractData</stp>
        <stp>CLEK5</stp>
        <stp>LastTradeorSettle</stp>
        <stp/>
        <stp>T</stp>
        <tr r="L10" s="2"/>
        <tr r="R4" s="6"/>
        <tr r="F16" s="2"/>
      </tp>
      <tp>
        <v>0.19</v>
        <stp/>
        <stp>StudyData</stp>
        <stp>Consolidate(CLES1?1-CLES1?2,5X,CLES1?1-CLES1?2,1,0)</stp>
        <stp>Bar</stp>
        <stp/>
        <stp>Low</stp>
        <stp>D</stp>
        <stp/>
        <stp/>
        <stp/>
        <stp/>
        <stp/>
        <stp>T</stp>
        <tr r="G44" s="2"/>
      </tp>
      <tp>
        <v>-0.06</v>
        <stp/>
        <stp>StudyData</stp>
        <stp>Consolidate(CLES1?5-CLES1?6,5X,CLES1?5-CLES1?6,1,0)</stp>
        <stp>Bar</stp>
        <stp/>
        <stp>Low</stp>
        <stp>D</stp>
        <stp/>
        <stp/>
        <stp/>
        <stp/>
        <stp/>
        <stp>T</stp>
        <tr r="G48" s="2"/>
      </tp>
      <tp>
        <v>49.44</v>
        <stp/>
        <stp>ContractData</stp>
        <stp>CLEJ5</stp>
        <stp>LastTradeorSettle</stp>
        <stp/>
        <stp>T</stp>
        <tr r="K10" s="2"/>
        <tr r="R3" s="6"/>
        <tr r="F15" s="2"/>
      </tp>
      <tp>
        <v>1.3299999999999983</v>
        <stp/>
        <stp>ContractData</stp>
        <stp>CLEZ5</stp>
        <stp>NetLastTradeToday</stp>
        <stp/>
        <stp>T</stp>
        <tr r="H23" s="2"/>
        <tr r="G23" s="2"/>
      </tp>
      <tp>
        <v>1.8400000000000034</v>
        <stp/>
        <stp>ContractData</stp>
        <stp>CLEU5</stp>
        <stp>NetLastTradeToday</stp>
        <stp/>
        <stp>T</stp>
        <tr r="H20" s="2"/>
        <tr r="G20" s="2"/>
      </tp>
      <tp>
        <v>55.2</v>
        <stp/>
        <stp>ContractData</stp>
        <stp>CLEG6</stp>
        <stp>LastTradeorSettle</stp>
        <stp/>
        <stp>T</stp>
        <tr r="U10" s="2"/>
        <tr r="R13" s="6"/>
      </tp>
      <tp>
        <v>48.35</v>
        <stp/>
        <stp>ContractData</stp>
        <stp>CLEG5</stp>
        <stp>LastTradeorSettle</stp>
        <stp/>
        <stp>T</stp>
        <tr r="F13" s="2"/>
      </tp>
      <tp>
        <v>-0.56000000000000005</v>
        <stp/>
        <stp>ContractData</stp>
        <stp>CLES1V</stp>
        <stp>Ask</stp>
        <stp/>
        <stp>T</stp>
        <tr r="Z9" s="6"/>
      </tp>
      <tp>
        <v>-0.57000000000000006</v>
        <stp/>
        <stp>ContractData</stp>
        <stp>CLES1U</stp>
        <stp>Ask</stp>
        <stp/>
        <stp>T</stp>
        <tr r="Z8" s="6"/>
      </tp>
      <tp>
        <v>-0.63</v>
        <stp/>
        <stp>ContractData</stp>
        <stp>CLES1Q</stp>
        <stp>Ask</stp>
        <stp/>
        <stp>T</stp>
        <tr r="Z7" s="6"/>
      </tp>
      <tp>
        <v>-0.44</v>
        <stp/>
        <stp>ContractData</stp>
        <stp>CLES1Z</stp>
        <stp>Ask</stp>
        <stp/>
        <stp>T</stp>
        <tr r="Z11" s="6"/>
      </tp>
      <tp>
        <v>-0.55000000000000004</v>
        <stp/>
        <stp>ContractData</stp>
        <stp>CLES1X</stp>
        <stp>Ask</stp>
        <stp/>
        <stp>T</stp>
        <tr r="Z10" s="6"/>
      </tp>
      <tp>
        <v>-0.43</v>
        <stp/>
        <stp>ContractData</stp>
        <stp>CLES1G</stp>
        <stp>Ask</stp>
        <stp/>
        <stp>T</stp>
        <tr r="Z13" s="6"/>
      </tp>
      <tp>
        <v>-0.44</v>
        <stp/>
        <stp>ContractData</stp>
        <stp>CLES1F</stp>
        <stp>Ask</stp>
        <stp/>
        <stp>T</stp>
        <tr r="Z12" s="6"/>
      </tp>
      <tp>
        <v>-0.65</v>
        <stp/>
        <stp>ContractData</stp>
        <stp>CLES1N</stp>
        <stp>Ask</stp>
        <stp/>
        <stp>T</stp>
        <tr r="Z6" s="6"/>
      </tp>
      <tp>
        <v>-0.70000000000000007</v>
        <stp/>
        <stp>ContractData</stp>
        <stp>CLES1M</stp>
        <stp>Ask</stp>
        <stp/>
        <stp>T</stp>
        <tr r="Z5" s="6"/>
      </tp>
      <tp>
        <v>-0.73</v>
        <stp/>
        <stp>ContractData</stp>
        <stp>CLES1K</stp>
        <stp>Ask</stp>
        <stp/>
        <stp>T</stp>
        <tr r="Z4" s="6"/>
      </tp>
      <tp>
        <v>-0.74</v>
        <stp/>
        <stp>ContractData</stp>
        <stp>CLES1J</stp>
        <stp>Ask</stp>
        <stp/>
        <stp>T</stp>
        <tr r="Z3" s="6"/>
      </tp>
      <tp>
        <v>-0.63</v>
        <stp/>
        <stp>ContractData</stp>
        <stp>CLES1H</stp>
        <stp>Ask</stp>
        <stp/>
        <stp>T</stp>
        <tr r="Z2" s="6"/>
      </tp>
      <tp>
        <v>-0.57000000000000006</v>
        <stp/>
        <stp>ContractData</stp>
        <stp>CLES1X</stp>
        <stp>Bid</stp>
        <stp/>
        <stp>T</stp>
        <tr r="Y10" s="6"/>
      </tp>
      <tp>
        <v>-0.45</v>
        <stp/>
        <stp>ContractData</stp>
        <stp>CLES1Z</stp>
        <stp>Bid</stp>
        <stp/>
        <stp>T</stp>
        <tr r="Y11" s="6"/>
      </tp>
      <tp>
        <v>-0.64</v>
        <stp/>
        <stp>ContractData</stp>
        <stp>CLES1Q</stp>
        <stp>Bid</stp>
        <stp/>
        <stp>T</stp>
        <tr r="Y7" s="6"/>
      </tp>
      <tp>
        <v>-0.59</v>
        <stp/>
        <stp>ContractData</stp>
        <stp>CLES1U</stp>
        <stp>Bid</stp>
        <stp/>
        <stp>T</stp>
        <tr r="Y8" s="6"/>
      </tp>
      <tp>
        <v>-0.57999999999999996</v>
        <stp/>
        <stp>ContractData</stp>
        <stp>CLES1V</stp>
        <stp>Bid</stp>
        <stp/>
        <stp>T</stp>
        <tr r="Y9" s="6"/>
      </tp>
      <tp>
        <v>-0.64</v>
        <stp/>
        <stp>ContractData</stp>
        <stp>CLES1H</stp>
        <stp>Bid</stp>
        <stp/>
        <stp>T</stp>
        <tr r="Y2" s="6"/>
      </tp>
      <tp>
        <v>-0.75</v>
        <stp/>
        <stp>ContractData</stp>
        <stp>CLES1J</stp>
        <stp>Bid</stp>
        <stp/>
        <stp>T</stp>
        <tr r="Y3" s="6"/>
      </tp>
      <tp>
        <v>-0.75</v>
        <stp/>
        <stp>ContractData</stp>
        <stp>CLES1K</stp>
        <stp>Bid</stp>
        <stp/>
        <stp>T</stp>
        <tr r="Y4" s="6"/>
      </tp>
      <tp>
        <v>-0.71</v>
        <stp/>
        <stp>ContractData</stp>
        <stp>CLES1M</stp>
        <stp>Bid</stp>
        <stp/>
        <stp>T</stp>
        <tr r="Y5" s="6"/>
      </tp>
      <tp>
        <v>-0.66</v>
        <stp/>
        <stp>ContractData</stp>
        <stp>CLES1N</stp>
        <stp>Bid</stp>
        <stp/>
        <stp>T</stp>
        <tr r="Y6" s="6"/>
      </tp>
      <tp>
        <v>-0.45</v>
        <stp/>
        <stp>ContractData</stp>
        <stp>CLES1F</stp>
        <stp>Bid</stp>
        <stp/>
        <stp>T</stp>
        <tr r="Y12" s="6"/>
      </tp>
      <tp>
        <v>-0.44</v>
        <stp/>
        <stp>ContractData</stp>
        <stp>CLES1G</stp>
        <stp>Bid</stp>
        <stp/>
        <stp>T</stp>
        <tr r="Y13" s="6"/>
      </tp>
      <tp>
        <v>-7.0000000000000007E-2</v>
        <stp/>
        <stp>StudyData</stp>
        <stp>Consolidate(CLES1?7-CLES1?8,5X,CLES1?7-CLES1?8,1,0)</stp>
        <stp>Bar</stp>
        <stp/>
        <stp>Low</stp>
        <stp>D</stp>
        <stp/>
        <stp/>
        <stp/>
        <stp/>
        <stp/>
        <stp>T</stp>
        <tr r="G50" s="2"/>
      </tp>
      <tp>
        <v>54.51</v>
        <stp/>
        <stp>ContractData</stp>
        <stp>CLEF6</stp>
        <stp>LastTradeorSettle</stp>
        <stp/>
        <stp>T</stp>
        <tr r="T10" s="2"/>
        <tr r="R12" s="6"/>
      </tp>
      <tp>
        <v>1.7299999999999969</v>
        <stp/>
        <stp>ContractData</stp>
        <stp>CLEV5</stp>
        <stp>NetLastTradeToday</stp>
        <stp/>
        <stp>T</stp>
        <tr r="G21" s="2"/>
        <tr r="H21" s="2"/>
      </tp>
      <tp>
        <v>1.8299999999999983</v>
        <stp/>
        <stp>ContractData</stp>
        <stp>CLEQ5</stp>
        <stp>NetLastTradeToday</stp>
        <stp/>
        <stp>T</stp>
        <tr r="G19" s="2"/>
        <tr r="H19" s="2"/>
      </tp>
      <tp t="s">
        <v>CLES1K5</v>
        <stp/>
        <stp>ContractData</stp>
        <stp>CLES1?4</stp>
        <stp>Symbol</stp>
        <tr r="A31" s="2"/>
      </tp>
      <tp t="s">
        <v>CLES1M5</v>
        <stp/>
        <stp>ContractData</stp>
        <stp>CLES1?5</stp>
        <stp>Symbol</stp>
        <tr r="A32" s="2"/>
      </tp>
      <tp t="s">
        <v>CLES1N5</v>
        <stp/>
        <stp>ContractData</stp>
        <stp>CLES1?6</stp>
        <stp>Symbol</stp>
        <tr r="A33" s="2"/>
      </tp>
      <tp t="s">
        <v>CLES1Q5</v>
        <stp/>
        <stp>ContractData</stp>
        <stp>CLES1?7</stp>
        <stp>Symbol</stp>
        <tr r="A34" s="2"/>
      </tp>
      <tp t="s">
        <v>CLES1G5</v>
        <stp/>
        <stp>ContractData</stp>
        <stp>CLES1?1</stp>
        <stp>Symbol</stp>
        <tr r="A28" s="2"/>
      </tp>
      <tp t="s">
        <v>CLES1H5</v>
        <stp/>
        <stp>ContractData</stp>
        <stp>CLES1?2</stp>
        <stp>Symbol</stp>
        <tr r="A29" s="2"/>
      </tp>
      <tp t="s">
        <v>CLES1J5</v>
        <stp/>
        <stp>ContractData</stp>
        <stp>CLES1?3</stp>
        <stp>Symbol</stp>
        <tr r="A30" s="2"/>
      </tp>
      <tp t="s">
        <v>CLES1U5</v>
        <stp/>
        <stp>ContractData</stp>
        <stp>CLES1?8</stp>
        <stp>Symbol</stp>
        <tr r="A35" s="2"/>
      </tp>
      <tp t="s">
        <v>CLES1V5</v>
        <stp/>
        <stp>ContractData</stp>
        <stp>CLES1?9</stp>
        <stp>Symbol</stp>
        <tr r="A36" s="2"/>
      </tp>
      <tp>
        <v>-0.1</v>
        <stp/>
        <stp>ContractData</stp>
        <stp>SPREAD(CLES1?10-CLES1?11)</stp>
        <stp>Ask</stp>
        <stp/>
        <stp>T</stp>
        <tr r="T42" s="2"/>
      </tp>
      <tp>
        <v>-0.13</v>
        <stp/>
        <stp>ContractData</stp>
        <stp>SPREAD(CLES1?10-CLES1?11)</stp>
        <stp>Bid</stp>
        <stp/>
        <stp>T</stp>
        <tr r="T43" s="2"/>
      </tp>
      <tp>
        <v>-0.59</v>
        <stp/>
        <stp>ContractData</stp>
        <stp>CLES1U5</stp>
        <stp>LastTradeorSettle</stp>
        <stp/>
        <stp>T</stp>
        <tr r="Q15" s="2"/>
        <tr r="F35" s="2"/>
      </tp>
      <tp>
        <v>0.06</v>
        <stp/>
        <stp>ContractData</stp>
        <stp>CLES1F6</stp>
        <stp>NetLastTradeToday</stp>
        <stp/>
        <stp>T</stp>
        <tr r="H39" s="2"/>
        <tr r="G39" s="2"/>
      </tp>
      <tp>
        <v>-0.57999999999999996</v>
        <stp/>
        <stp>ContractData</stp>
        <stp>CLES1V5</stp>
        <stp>LastTradeorSettle</stp>
        <stp/>
        <stp>T</stp>
        <tr r="R15" s="2"/>
        <tr r="F36" s="2"/>
      </tp>
      <tp>
        <v>-0.44</v>
        <stp/>
        <stp>ContractData</stp>
        <stp>CLES1G</stp>
        <stp>Settlement</stp>
        <stp/>
        <stp>T</stp>
        <tr r="AK13" s="6"/>
      </tp>
      <tp>
        <v>3.999999999999998E-2</v>
        <stp/>
        <stp>ContractData</stp>
        <stp>CLES1G5</stp>
        <stp>NetLastTradeToday</stp>
        <stp/>
        <stp>T</stp>
        <tr r="H28" s="2"/>
        <tr r="G28" s="2"/>
      </tp>
      <tp>
        <v>-0.45</v>
        <stp/>
        <stp>ContractData</stp>
        <stp>CLES1F</stp>
        <stp>Settlement</stp>
        <stp/>
        <stp>T</stp>
        <tr r="AK12" s="6"/>
      </tp>
      <tp>
        <v>-0.06</v>
        <stp/>
        <stp>StudyData</stp>
        <stp>Consolidate(CLES1?9-CLES1?10,5X,CLES1?9-CLES1?10,1,0)</stp>
        <stp>Bar</stp>
        <stp/>
        <stp>Low</stp>
        <stp>D</stp>
        <stp/>
        <stp/>
        <stp/>
        <stp/>
        <stp/>
        <stp>T</stp>
        <tr r="G52" s="2"/>
      </tp>
      <tp>
        <v>-0.65</v>
        <stp/>
        <stp>ContractData</stp>
        <stp>CLES1Q5</stp>
        <stp>LastTradeorSettle</stp>
        <stp/>
        <stp>T</stp>
        <tr r="P15" s="2"/>
        <tr r="F34" s="2"/>
      </tp>
      <tp>
        <v>-0.72</v>
        <stp/>
        <stp>ContractData</stp>
        <stp>CLES1M</stp>
        <stp>Settlement</stp>
        <stp/>
        <stp>T</stp>
        <tr r="AK5" s="6"/>
      </tp>
      <tp>
        <v>4.9999999999999933E-2</v>
        <stp/>
        <stp>ContractData</stp>
        <stp>CLES1M5</stp>
        <stp>NetLastTradeToday</stp>
        <stp/>
        <stp>T</stp>
        <tr r="H32" s="2"/>
        <tr r="G32" s="2"/>
      </tp>
      <tp>
        <v>6.9999999999999951E-2</v>
        <stp/>
        <stp>ContractData</stp>
        <stp>CLES1N5</stp>
        <stp>NetLastTradeToday</stp>
        <stp/>
        <stp>T</stp>
        <tr r="G33" s="2"/>
        <tr r="H33" s="2"/>
      </tp>
      <tp>
        <v>-0.67</v>
        <stp/>
        <stp>ContractData</stp>
        <stp>CLES1N</stp>
        <stp>Settlement</stp>
        <stp/>
        <stp>T</stp>
        <tr r="AK6" s="6"/>
      </tp>
      <tp>
        <v>693</v>
        <stp/>
        <stp>ContractData</stp>
        <stp>CLEF6</stp>
        <stp>T_CVol</stp>
        <tr r="AA53" s="2"/>
      </tp>
      <tp>
        <v>141342</v>
        <stp/>
        <stp>ContractData</stp>
        <stp>CLEG5</stp>
        <stp>T_CVol</stp>
        <tr r="I13" s="2"/>
      </tp>
      <tp>
        <v>367</v>
        <stp/>
        <stp>ContractData</stp>
        <stp>CLEG6</stp>
        <stp>T_CVol</stp>
        <tr r="AA54" s="2"/>
      </tp>
      <tp>
        <v>12210</v>
        <stp/>
        <stp>ContractData</stp>
        <stp>CLEN5</stp>
        <stp>T_CVol</stp>
        <tr r="AA47" s="2"/>
        <tr r="I18" s="2"/>
      </tp>
      <tp>
        <v>53944</v>
        <stp/>
        <stp>ContractData</stp>
        <stp>CLEM5</stp>
        <stp>T_CVol</stp>
        <tr r="AA46" s="2"/>
        <tr r="I17" s="2"/>
      </tp>
      <tp>
        <v>61137</v>
        <stp/>
        <stp>ContractData</stp>
        <stp>CLEJ5</stp>
        <stp>T_CVol</stp>
        <tr r="AA44" s="2"/>
        <tr r="I15" s="2"/>
      </tp>
      <tp>
        <v>33795</v>
        <stp/>
        <stp>ContractData</stp>
        <stp>CLEK5</stp>
        <stp>T_CVol</stp>
        <tr r="AA45" s="2"/>
        <tr r="I16" s="2"/>
      </tp>
      <tp>
        <v>378067</v>
        <stp/>
        <stp>ContractData</stp>
        <stp>CLEH5</stp>
        <stp>T_CVol</stp>
        <tr r="AA43" s="2"/>
        <tr r="I14" s="2"/>
      </tp>
      <tp>
        <v>2130</v>
        <stp/>
        <stp>ContractData</stp>
        <stp>CLEV5</stp>
        <stp>T_CVol</stp>
        <tr r="AA50" s="2"/>
        <tr r="I21" s="2"/>
      </tp>
      <tp>
        <v>12804</v>
        <stp/>
        <stp>ContractData</stp>
        <stp>CLEU5</stp>
        <stp>T_CVol</stp>
        <tr r="AA49" s="2"/>
        <tr r="I20" s="2"/>
      </tp>
      <tp>
        <v>4749</v>
        <stp/>
        <stp>ContractData</stp>
        <stp>CLEQ5</stp>
        <stp>T_CVol</stp>
        <tr r="AA48" s="2"/>
        <tr r="I19" s="2"/>
      </tp>
      <tp>
        <v>37896</v>
        <stp/>
        <stp>ContractData</stp>
        <stp>CLEZ5</stp>
        <stp>T_CVol</stp>
        <tr r="AA52" s="2"/>
        <tr r="I23" s="2"/>
      </tp>
      <tp>
        <v>1754</v>
        <stp/>
        <stp>ContractData</stp>
        <stp>CLEX5</stp>
        <stp>T_CVol</stp>
        <tr r="AA51" s="2"/>
        <tr r="I22" s="2"/>
      </tp>
      <tp>
        <v>0.10999999999999999</v>
        <stp/>
        <stp>ContractData</stp>
        <stp>CLES1H5</stp>
        <stp>NetLastTradeToday</stp>
        <stp/>
        <stp>T</stp>
        <tr r="G29" s="2"/>
        <tr r="H29" s="2"/>
      </tp>
      <tp>
        <v>-0.57000000000000006</v>
        <stp/>
        <stp>ContractData</stp>
        <stp>CLES1X5</stp>
        <stp>LastTradeorSettle</stp>
        <stp/>
        <stp>T</stp>
        <tr r="S15" s="2"/>
        <tr r="F37" s="2"/>
      </tp>
      <tp>
        <v>-0.71</v>
        <stp/>
        <stp>ContractData</stp>
        <stp>CLES1H</stp>
        <stp>Settlement</stp>
        <stp/>
        <stp>T</stp>
        <tr r="AK2" s="6"/>
      </tp>
      <tp>
        <v>9.000000000000008E-2</v>
        <stp/>
        <stp>ContractData</stp>
        <stp>CLES1J5</stp>
        <stp>NetLastTradeToday</stp>
        <stp/>
        <stp>T</stp>
        <tr r="G30" s="2"/>
        <tr r="H30" s="2"/>
      </tp>
      <tp>
        <v>-0.45</v>
        <stp/>
        <stp>ContractData</stp>
        <stp>CLES1Z5</stp>
        <stp>LastTradeorSettle</stp>
        <stp/>
        <stp>T</stp>
        <tr r="T15" s="2"/>
        <tr r="F38" s="2"/>
      </tp>
      <tp>
        <v>-0.75</v>
        <stp/>
        <stp>ContractData</stp>
        <stp>CLES1K</stp>
        <stp>Settlement</stp>
        <stp/>
        <stp>T</stp>
        <tr r="AK4" s="6"/>
      </tp>
      <tp>
        <v>6.0000000000000053E-2</v>
        <stp/>
        <stp>ContractData</stp>
        <stp>CLES1K5</stp>
        <stp>NetLastTradeToday</stp>
        <stp/>
        <stp>T</stp>
        <tr r="G31" s="2"/>
        <tr r="H31" s="2"/>
      </tp>
      <tp>
        <v>-0.78</v>
        <stp/>
        <stp>ContractData</stp>
        <stp>CLES1J</stp>
        <stp>Settlement</stp>
        <stp/>
        <stp>T</stp>
        <tr r="AK3" s="6"/>
      </tp>
      <tp>
        <v>-0.57999999999999996</v>
        <stp/>
        <stp>ContractData</stp>
        <stp>CLES1U</stp>
        <stp>Settlement</stp>
        <stp/>
        <stp>T</stp>
        <tr r="AK8" s="6"/>
      </tp>
      <tp>
        <v>8.0000000000000071E-2</v>
        <stp/>
        <stp>ContractData</stp>
        <stp>CLES1U5</stp>
        <stp>NetLastTradeToday</stp>
        <stp/>
        <stp>T</stp>
        <tr r="G35" s="2"/>
        <tr r="H35" s="2"/>
      </tp>
      <tp>
        <v>-0.75</v>
        <stp/>
        <stp>ContractData</stp>
        <stp>CLES1M5</stp>
        <stp>Open</stp>
        <stp/>
        <stp>T</stp>
        <tr r="C32" s="2"/>
      </tp>
      <tp>
        <v>-0.72</v>
        <stp/>
        <stp>ContractData</stp>
        <stp>CLES1N5</stp>
        <stp>Open</stp>
        <stp/>
        <stp>T</stp>
        <tr r="C33" s="2"/>
      </tp>
      <tp>
        <v>-0.72</v>
        <stp/>
        <stp>ContractData</stp>
        <stp>CLES1H5</stp>
        <stp>Open</stp>
        <stp/>
        <stp>T</stp>
        <tr r="C29" s="2"/>
      </tp>
      <tp>
        <v>-0.8</v>
        <stp/>
        <stp>ContractData</stp>
        <stp>CLES1K5</stp>
        <stp>Open</stp>
        <stp/>
        <stp>T</stp>
        <tr r="C31" s="2"/>
      </tp>
      <tp>
        <v>-0.82000000000000006</v>
        <stp/>
        <stp>ContractData</stp>
        <stp>CLES1J5</stp>
        <stp>Open</stp>
        <stp/>
        <stp>T</stp>
        <tr r="C30" s="2"/>
      </tp>
      <tp>
        <v>-0.45</v>
        <stp/>
        <stp>ContractData</stp>
        <stp>CLES1G5</stp>
        <stp>Open</stp>
        <stp/>
        <stp>T</stp>
        <tr r="C28" s="2"/>
      </tp>
      <tp>
        <v>-0.53</v>
        <stp/>
        <stp>ContractData</stp>
        <stp>CLES1F6</stp>
        <stp>Open</stp>
        <stp/>
        <stp>T</stp>
        <tr r="C39" s="2"/>
      </tp>
      <tp>
        <v>-0.66</v>
        <stp/>
        <stp>ContractData</stp>
        <stp>CLES1X5</stp>
        <stp>Open</stp>
        <stp/>
        <stp>T</stp>
        <tr r="C37" s="2"/>
      </tp>
      <tp>
        <v>-0.53</v>
        <stp/>
        <stp>ContractData</stp>
        <stp>CLES1Z5</stp>
        <stp>Open</stp>
        <stp/>
        <stp>T</stp>
        <tr r="C38" s="2"/>
      </tp>
      <tp>
        <v>-0.68</v>
        <stp/>
        <stp>ContractData</stp>
        <stp>CLES1U5</stp>
        <stp>Open</stp>
        <stp/>
        <stp>T</stp>
        <tr r="C35" s="2"/>
      </tp>
      <tp>
        <v>-0.67</v>
        <stp/>
        <stp>ContractData</stp>
        <stp>CLES1V5</stp>
        <stp>Open</stp>
        <stp/>
        <stp>T</stp>
        <tr r="C36" s="2"/>
      </tp>
      <tp>
        <v>-0.72</v>
        <stp/>
        <stp>ContractData</stp>
        <stp>CLES1Q5</stp>
        <stp>Open</stp>
        <stp/>
        <stp>T</stp>
        <tr r="C34" s="2"/>
      </tp>
      <tp>
        <v>8.0000000000000071E-2</v>
        <stp/>
        <stp>ContractData</stp>
        <stp>CLES1V5</stp>
        <stp>NetLastTradeToday</stp>
        <stp/>
        <stp>T</stp>
        <tr r="G36" s="2"/>
        <tr r="H36" s="2"/>
      </tp>
      <tp>
        <v>-0.45</v>
        <stp/>
        <stp>ContractData</stp>
        <stp>CLES1F6</stp>
        <stp>LastTradeorSettle</stp>
        <stp/>
        <stp>T</stp>
        <tr r="U15" s="2"/>
        <tr r="F39" s="2"/>
      </tp>
      <tp>
        <v>-0.01</v>
        <stp/>
        <stp>StudyData</stp>
        <stp>Consolidate(CLES1?9-CLES1?10,5X,CLES1?9-CLES1?10,1,0)</stp>
        <stp>Bar</stp>
        <stp/>
        <stp>Close</stp>
        <stp>D</stp>
        <stp>0</stp>
        <stp/>
        <stp/>
        <stp/>
        <stp/>
        <stp>T</stp>
        <tr r="I52" s="2"/>
      </tp>
      <tp>
        <v>-0.44</v>
        <stp/>
        <stp>ContractData</stp>
        <stp>CLES1G5</stp>
        <stp>LastTradeorSettle</stp>
        <stp/>
        <stp>T</stp>
        <tr r="F28" s="2"/>
      </tp>
      <tp>
        <v>-0.57000000000000006</v>
        <stp/>
        <stp>ContractData</stp>
        <stp>CLES1V</stp>
        <stp>Settlement</stp>
        <stp/>
        <stp>T</stp>
        <tr r="AK9" s="6"/>
      </tp>
      <tp>
        <v>-0.65</v>
        <stp/>
        <stp>ContractData</stp>
        <stp>CLES1Q</stp>
        <stp>Settlement</stp>
        <stp/>
        <stp>T</stp>
        <tr r="AK7" s="6"/>
      </tp>
      <tp>
        <v>6.9999999999999951E-2</v>
        <stp/>
        <stp>ContractData</stp>
        <stp>CLES1Q5</stp>
        <stp>NetLastTradeToday</stp>
        <stp/>
        <stp>T</stp>
        <tr r="G34" s="2"/>
        <tr r="H34" s="2"/>
      </tp>
      <tp>
        <v>42020.647881944446</v>
        <stp/>
        <stp>SystemInfo</stp>
        <stp>Linetime</stp>
        <tr r="C56" s="2"/>
        <tr r="C55" s="2"/>
        <tr r="G55" s="2"/>
      </tp>
      <tp>
        <v>-0.57999999999999996</v>
        <stp/>
        <stp>ContractData</stp>
        <stp>CLES1U5</stp>
        <stp>High</stp>
        <stp/>
        <stp>T</stp>
        <tr r="D35" s="2"/>
      </tp>
      <tp>
        <v>-0.57000000000000006</v>
        <stp/>
        <stp>ContractData</stp>
        <stp>CLES1V5</stp>
        <stp>High</stp>
        <stp/>
        <stp>T</stp>
        <tr r="D36" s="2"/>
      </tp>
      <tp>
        <v>-0.64</v>
        <stp/>
        <stp>ContractData</stp>
        <stp>CLES1Q5</stp>
        <stp>High</stp>
        <stp/>
        <stp>T</stp>
        <tr r="D34" s="2"/>
      </tp>
      <tp>
        <v>-0.55000000000000004</v>
        <stp/>
        <stp>ContractData</stp>
        <stp>CLES1X5</stp>
        <stp>High</stp>
        <stp/>
        <stp>T</stp>
        <tr r="D37" s="2"/>
      </tp>
      <tp>
        <v>-0.43</v>
        <stp/>
        <stp>ContractData</stp>
        <stp>CLES1Z5</stp>
        <stp>High</stp>
        <stp/>
        <stp>T</stp>
        <tr r="D38" s="2"/>
      </tp>
      <tp>
        <v>-0.44</v>
        <stp/>
        <stp>ContractData</stp>
        <stp>CLES1F6</stp>
        <stp>High</stp>
        <stp/>
        <stp>T</stp>
        <tr r="D39" s="2"/>
      </tp>
      <tp>
        <v>-0.42</v>
        <stp/>
        <stp>ContractData</stp>
        <stp>CLES1G5</stp>
        <stp>High</stp>
        <stp/>
        <stp>T</stp>
        <tr r="D28" s="2"/>
      </tp>
      <tp>
        <v>-0.70000000000000007</v>
        <stp/>
        <stp>ContractData</stp>
        <stp>CLES1M5</stp>
        <stp>High</stp>
        <stp/>
        <stp>T</stp>
        <tr r="D32" s="2"/>
      </tp>
      <tp>
        <v>-0.65</v>
        <stp/>
        <stp>ContractData</stp>
        <stp>CLES1N5</stp>
        <stp>High</stp>
        <stp/>
        <stp>T</stp>
        <tr r="D33" s="2"/>
      </tp>
      <tp>
        <v>-0.63</v>
        <stp/>
        <stp>ContractData</stp>
        <stp>CLES1H5</stp>
        <stp>High</stp>
        <stp/>
        <stp>T</stp>
        <tr r="D29" s="2"/>
      </tp>
      <tp>
        <v>-0.72</v>
        <stp/>
        <stp>ContractData</stp>
        <stp>CLES1J5</stp>
        <stp>High</stp>
        <stp/>
        <stp>T</stp>
        <tr r="D30" s="2"/>
      </tp>
      <tp>
        <v>-0.73</v>
        <stp/>
        <stp>ContractData</stp>
        <stp>CLES1K5</stp>
        <stp>High</stp>
        <stp/>
        <stp>T</stp>
        <tr r="D31" s="2"/>
      </tp>
      <tp>
        <v>1.5700000000000003</v>
        <stp/>
        <stp>ContractData</stp>
        <stp>F.CLE?8</stp>
        <stp>NetLastQuoteToday</stp>
        <stp/>
        <stp>T</stp>
        <tr r="U9" s="6"/>
      </tp>
      <tp>
        <v>1.6700000000000017</v>
        <stp/>
        <stp>ContractData</stp>
        <stp>F.CLE?9</stp>
        <stp>NetLastQuoteToday</stp>
        <stp/>
        <stp>T</stp>
        <tr r="U10" s="6"/>
      </tp>
      <tp>
        <v>1.7299999999999969</v>
        <stp/>
        <stp>ContractData</stp>
        <stp>F.CLE?6</stp>
        <stp>NetLastQuoteToday</stp>
        <stp/>
        <stp>T</stp>
        <tr r="U7" s="6"/>
      </tp>
      <tp>
        <v>1.6499999999999986</v>
        <stp/>
        <stp>ContractData</stp>
        <stp>F.CLE?7</stp>
        <stp>NetLastQuoteToday</stp>
        <stp/>
        <stp>T</stp>
        <tr r="U8" s="6"/>
      </tp>
      <tp>
        <v>1.8699999999999974</v>
        <stp/>
        <stp>ContractData</stp>
        <stp>F.CLE?4</stp>
        <stp>NetLastQuoteToday</stp>
        <stp/>
        <stp>T</stp>
        <tr r="U5" s="6"/>
      </tp>
      <tp>
        <v>1.8100000000000023</v>
        <stp/>
        <stp>ContractData</stp>
        <stp>F.CLE?5</stp>
        <stp>NetLastQuoteToday</stp>
        <stp/>
        <stp>T</stp>
        <tr r="U6" s="6"/>
      </tp>
      <tp>
        <v>2.029999999999994</v>
        <stp/>
        <stp>ContractData</stp>
        <stp>F.CLE?2</stp>
        <stp>NetLastQuoteToday</stp>
        <stp/>
        <stp>T</stp>
        <tr r="U3" s="6"/>
      </tp>
      <tp>
        <v>1.9500000000000028</v>
        <stp/>
        <stp>ContractData</stp>
        <stp>F.CLE?3</stp>
        <stp>NetLastQuoteToday</stp>
        <stp/>
        <stp>T</stp>
        <tr r="U4" s="6"/>
      </tp>
      <tp>
        <v>2.1000000000000014</v>
        <stp/>
        <stp>ContractData</stp>
        <stp>F.CLE?1</stp>
        <stp>NetLastQuoteToday</stp>
        <stp/>
        <stp>T</stp>
        <tr r="U2" s="6"/>
      </tp>
      <tp>
        <v>-0.70000000000000007</v>
        <stp/>
        <stp>ContractData</stp>
        <stp>CLES1M5</stp>
        <stp>LastTradeorSettle</stp>
        <stp/>
        <stp>T</stp>
        <tr r="N15" s="2"/>
        <tr r="F32" s="2"/>
      </tp>
      <tp>
        <v>-0.65</v>
        <stp/>
        <stp>ContractData</stp>
        <stp>CLES1N5</stp>
        <stp>LastTradeorSettle</stp>
        <stp/>
        <stp>T</stp>
        <tr r="O15" s="2"/>
        <tr r="F33" s="2"/>
      </tp>
      <tp>
        <v>7.999999999999996E-2</v>
        <stp/>
        <stp>ContractData</stp>
        <stp>CLES1X5</stp>
        <stp>NetLastTradeToday</stp>
        <stp/>
        <stp>T</stp>
        <tr r="G37" s="2"/>
        <tr r="H37" s="2"/>
      </tp>
      <tp>
        <v>-0.63</v>
        <stp/>
        <stp>ContractData</stp>
        <stp>CLES1H5</stp>
        <stp>LastTradeorSettle</stp>
        <stp/>
        <stp>T</stp>
        <tr r="K15" s="2"/>
        <tr r="F29" s="2"/>
      </tp>
      <tp t="s">
        <v>CLES1Q5</v>
        <stp/>
        <stp>ContractData</stp>
        <stp>CLES1Q</stp>
        <stp>Symbol</stp>
        <tr r="P11" s="2"/>
      </tp>
      <tp t="s">
        <v>CLES1U5</v>
        <stp/>
        <stp>ContractData</stp>
        <stp>CLES1U</stp>
        <stp>Symbol</stp>
        <tr r="Q11" s="2"/>
      </tp>
      <tp t="s">
        <v>CLES1V5</v>
        <stp/>
        <stp>ContractData</stp>
        <stp>CLES1V</stp>
        <stp>Symbol</stp>
        <tr r="R11" s="2"/>
      </tp>
      <tp t="s">
        <v>CLES1X5</v>
        <stp/>
        <stp>ContractData</stp>
        <stp>CLES1X</stp>
        <stp>Symbol</stp>
        <tr r="S11" s="2"/>
      </tp>
      <tp t="s">
        <v>CLES1Z5</v>
        <stp/>
        <stp>ContractData</stp>
        <stp>CLES1Z</stp>
        <stp>Symbol</stp>
        <tr r="T11" s="2"/>
      </tp>
      <tp t="s">
        <v>CLES1F6</v>
        <stp/>
        <stp>ContractData</stp>
        <stp>CLES1F</stp>
        <stp>Symbol</stp>
        <tr r="U11" s="2"/>
      </tp>
      <tp t="s">
        <v>CLES1H5</v>
        <stp/>
        <stp>ContractData</stp>
        <stp>CLES1H</stp>
        <stp>Symbol</stp>
        <tr r="K11" s="2"/>
      </tp>
      <tp t="s">
        <v>CLES1K5</v>
        <stp/>
        <stp>ContractData</stp>
        <stp>CLES1K</stp>
        <stp>Symbol</stp>
        <tr r="M11" s="2"/>
      </tp>
      <tp t="s">
        <v>CLES1J5</v>
        <stp/>
        <stp>ContractData</stp>
        <stp>CLES1J</stp>
        <stp>Symbol</stp>
        <tr r="L11" s="2"/>
      </tp>
      <tp t="s">
        <v>CLES1M5</v>
        <stp/>
        <stp>ContractData</stp>
        <stp>CLES1M</stp>
        <stp>Symbol</stp>
        <tr r="N11" s="2"/>
      </tp>
      <tp t="s">
        <v>CLES1N5</v>
        <stp/>
        <stp>ContractData</stp>
        <stp>CLES1N</stp>
        <stp>Symbol</stp>
        <tr r="O11" s="2"/>
      </tp>
      <tp>
        <v>-0.56000000000000005</v>
        <stp/>
        <stp>ContractData</stp>
        <stp>CLES1X</stp>
        <stp>Settlement</stp>
        <stp/>
        <stp>T</stp>
        <tr r="AK10" s="6"/>
      </tp>
      <tp>
        <v>0.11</v>
        <stp/>
        <stp>StudyData</stp>
        <stp>Consolidate(CLES1?2-CLES1?3,5X,CLES1?2-CLES1?3,1,0)</stp>
        <stp>Bar</stp>
        <stp/>
        <stp>Close</stp>
        <stp>D</stp>
        <stp/>
        <stp/>
        <stp/>
        <stp/>
        <stp/>
        <stp>T</stp>
        <tr r="H45" s="2"/>
        <tr r="T35" s="6"/>
        <tr r="L44" s="2"/>
      </tp>
      <tp>
        <v>-0.04</v>
        <stp/>
        <stp>StudyData</stp>
        <stp>Consolidate(CLES1?4-CLES1?5,5X,CLES1?4-CLES1?5,1,0)</stp>
        <stp>Bar</stp>
        <stp/>
        <stp>Close</stp>
        <stp>D</stp>
        <stp/>
        <stp/>
        <stp/>
        <stp/>
        <stp/>
        <stp>T</stp>
        <tr r="N44" s="2"/>
        <tr r="H47" s="2"/>
        <tr r="T37" s="6"/>
      </tp>
      <tp>
        <v>0</v>
        <stp/>
        <stp>StudyData</stp>
        <stp>Consolidate(CLES1?6-CLES1?7,5X,CLES1?6-CLES1?7,1,0)</stp>
        <stp>Bar</stp>
        <stp/>
        <stp>Close</stp>
        <stp>D</stp>
        <stp/>
        <stp/>
        <stp/>
        <stp/>
        <stp/>
        <stp>T</stp>
        <tr r="P44" s="2"/>
        <tr r="Q44" s="2"/>
        <tr r="T39" s="6"/>
        <tr r="H49" s="2"/>
      </tp>
      <tp>
        <v>-0.01</v>
        <stp/>
        <stp>StudyData</stp>
        <stp>Consolidate(CLES1?8-CLES1?9,5X,CLES1?8-CLES1?9,1,0)</stp>
        <stp>Bar</stp>
        <stp/>
        <stp>Close</stp>
        <stp>D</stp>
        <stp/>
        <stp/>
        <stp/>
        <stp/>
        <stp/>
        <stp>T</stp>
        <tr r="H51" s="2"/>
        <tr r="R44" s="2"/>
        <tr r="T41" s="6"/>
      </tp>
      <tp>
        <v>0.19</v>
        <stp/>
        <stp>StudyData</stp>
        <stp>Consolidate(CLES1?1-CLES1?2,5X,CLES1?1-CLES1?2,1,0)</stp>
        <stp>Bar</stp>
        <stp/>
        <stp>Close</stp>
        <stp>D</stp>
        <stp/>
        <stp/>
        <stp/>
        <stp/>
        <stp/>
        <stp>T</stp>
        <tr r="H44" s="2"/>
        <tr r="T34" s="6"/>
        <tr r="K44" s="2"/>
      </tp>
      <tp>
        <v>-0.05</v>
        <stp/>
        <stp>StudyData</stp>
        <stp>Consolidate(CLES1?5-CLES1?6,5X,CLES1?5-CLES1?6,1,0)</stp>
        <stp>Bar</stp>
        <stp/>
        <stp>Close</stp>
        <stp>D</stp>
        <stp/>
        <stp/>
        <stp/>
        <stp/>
        <stp/>
        <stp>T</stp>
        <tr r="O44" s="2"/>
        <tr r="H48" s="2"/>
        <tr r="T38" s="6"/>
      </tp>
      <tp>
        <v>0</v>
        <stp/>
        <stp>StudyData</stp>
        <stp>Consolidate(CLES1?3-CLES1?4,5X,CLES1?3-CLES3?4,1,0)</stp>
        <stp>Bar</stp>
        <stp/>
        <stp>Close</stp>
        <stp>D</stp>
        <stp/>
        <stp/>
        <stp/>
        <stp/>
        <stp/>
        <stp>T</stp>
        <tr r="H46" s="2"/>
      </tp>
      <tp>
        <v>0</v>
        <stp/>
        <stp>StudyData</stp>
        <stp>Consolidate(CLES1?3-CLES1?4,5X,CLES1?3-CLES1?4,1,0)</stp>
        <stp>Bar</stp>
        <stp/>
        <stp>Close</stp>
        <stp>D</stp>
        <stp/>
        <stp/>
        <stp/>
        <stp/>
        <stp/>
        <stp>T</stp>
        <tr r="T36" s="6"/>
        <tr r="M44" s="2"/>
      </tp>
      <tp>
        <v>-0.06</v>
        <stp/>
        <stp>StudyData</stp>
        <stp>Consolidate(CLES1?7-CLES1?8,5X,CLES1?7-CLES1?8,1,0)</stp>
        <stp>Bar</stp>
        <stp/>
        <stp>Close</stp>
        <stp>D</stp>
        <stp/>
        <stp/>
        <stp/>
        <stp/>
        <stp/>
        <stp>T</stp>
        <tr r="T40" s="6"/>
        <tr r="H50" s="2"/>
      </tp>
      <tp t="s">
        <v>CLEZ5</v>
        <stp/>
        <stp>ContractData</stp>
        <stp>CLE?11</stp>
        <stp>Symbol</stp>
        <tr r="Q11" s="6"/>
        <tr r="A23" s="2"/>
      </tp>
      <tp t="s">
        <v>CLEX5</v>
        <stp/>
        <stp>ContractData</stp>
        <stp>CLE?10</stp>
        <stp>Symbol</stp>
        <tr r="Q10" s="6"/>
        <tr r="A22" s="2"/>
      </tp>
      <tp t="s">
        <v>CLEG6</v>
        <stp/>
        <stp>ContractData</stp>
        <stp>CLE?13</stp>
        <stp>Symbol</stp>
        <tr r="Q13" s="6"/>
      </tp>
      <tp t="s">
        <v>CLEF6</v>
        <stp/>
        <stp>ContractData</stp>
        <stp>CLE?12</stp>
        <stp>Symbol</stp>
        <tr r="Q12" s="6"/>
      </tp>
      <tp>
        <v>7.0000000000000007E-2</v>
        <stp/>
        <stp>ContractData</stp>
        <stp>CLES1Z5</stp>
        <stp>NetLastTradeToday</stp>
        <stp/>
        <stp>T</stp>
        <tr r="H38" s="2"/>
        <tr r="G38" s="2"/>
      </tp>
      <tp>
        <v>-0.74</v>
        <stp/>
        <stp>ContractData</stp>
        <stp>CLES1J5</stp>
        <stp>LastTradeorSettle</stp>
        <stp/>
        <stp>T</stp>
        <tr r="L15" s="2"/>
        <tr r="F30" s="2"/>
      </tp>
      <tp>
        <v>-0.74</v>
        <stp/>
        <stp>ContractData</stp>
        <stp>CLES1K5</stp>
        <stp>LastTradeorSettle</stp>
        <stp/>
        <stp>T</stp>
        <tr r="M15" s="2"/>
        <tr r="F31" s="2"/>
      </tp>
      <tp>
        <v>-0.44</v>
        <stp/>
        <stp>ContractData</stp>
        <stp>CLES1Z</stp>
        <stp>Settlement</stp>
        <stp/>
        <stp>T</stp>
        <tr r="AK11" s="6"/>
      </tp>
      <tp>
        <v>-0.12</v>
        <stp/>
        <stp>StudyData</stp>
        <stp>Consolidate(CLES1?10-CLES1?11,5X,CLES1?10-CLES11?2,1,0)</stp>
        <stp>Bar</stp>
        <stp/>
        <stp>Close</stp>
        <stp>D</stp>
        <stp/>
        <stp/>
        <stp/>
        <stp/>
        <stp/>
        <stp>T</stp>
        <tr r="T43" s="6"/>
      </tp>
      <tp>
        <v>0.11</v>
        <stp/>
        <stp>StudyData</stp>
        <stp>Consolidate(CLES1?2-CLES1?3,5X,CLES1?2-CLES1?3,1,0)</stp>
        <stp>Bar</stp>
        <stp/>
        <stp>Close</stp>
        <stp>D</stp>
        <stp>0</stp>
        <stp/>
        <stp/>
        <stp/>
        <stp/>
        <stp>T</stp>
        <tr r="I45" s="2"/>
      </tp>
      <tp>
        <v>-0.04</v>
        <stp/>
        <stp>StudyData</stp>
        <stp>Consolidate(CLES1?4-CLES1?5,5X,CLES1?4-CLES1?5,1,0)</stp>
        <stp>Bar</stp>
        <stp/>
        <stp>Close</stp>
        <stp>D</stp>
        <stp>0</stp>
        <stp/>
        <stp/>
        <stp/>
        <stp/>
        <stp>T</stp>
        <tr r="I47" s="2"/>
      </tp>
      <tp>
        <v>0</v>
        <stp/>
        <stp>StudyData</stp>
        <stp>Consolidate(CLES1?6-CLES1?7,5X,CLES1?6-CLES1?7,1,0)</stp>
        <stp>Bar</stp>
        <stp/>
        <stp>Close</stp>
        <stp>D</stp>
        <stp>0</stp>
        <stp/>
        <stp/>
        <stp/>
        <stp/>
        <stp>T</stp>
        <tr r="I49" s="2"/>
      </tp>
      <tp>
        <v>-0.01</v>
        <stp/>
        <stp>StudyData</stp>
        <stp>Consolidate(CLES1?8-CLES1?9,5X,CLES1?8-CLES1?9,1,0)</stp>
        <stp>Bar</stp>
        <stp/>
        <stp>Close</stp>
        <stp>D</stp>
        <stp>0</stp>
        <stp/>
        <stp/>
        <stp/>
        <stp/>
        <stp>T</stp>
        <tr r="I51" s="2"/>
      </tp>
      <tp>
        <v>0.19</v>
        <stp/>
        <stp>StudyData</stp>
        <stp>Consolidate(CLES1?1-CLES1?2,5X,CLES1?1-CLES1?2,1,0)</stp>
        <stp>Bar</stp>
        <stp/>
        <stp>Close</stp>
        <stp>D</stp>
        <stp>0</stp>
        <stp/>
        <stp/>
        <stp/>
        <stp/>
        <stp>T</stp>
        <tr r="I44" s="2"/>
      </tp>
      <tp>
        <v>-0.05</v>
        <stp/>
        <stp>StudyData</stp>
        <stp>Consolidate(CLES1?5-CLES1?6,5X,CLES1?5-CLES1?6,1,0)</stp>
        <stp>Bar</stp>
        <stp/>
        <stp>Close</stp>
        <stp>D</stp>
        <stp>0</stp>
        <stp/>
        <stp/>
        <stp/>
        <stp/>
        <stp>T</stp>
        <tr r="I48" s="2"/>
      </tp>
      <tp>
        <v>0</v>
        <stp/>
        <stp>StudyData</stp>
        <stp>Consolidate(CLES1?3-CLES1?4,5X,CLES1?3-CLES1?4,1,0)</stp>
        <stp>Bar</stp>
        <stp/>
        <stp>Close</stp>
        <stp>D</stp>
        <stp>0</stp>
        <stp/>
        <stp/>
        <stp/>
        <stp/>
        <stp>T</stp>
        <tr r="I46" s="2"/>
      </tp>
      <tp>
        <v>648</v>
        <stp/>
        <stp>ContractData</stp>
        <stp>CLES1U</stp>
        <stp>T_CVol</stp>
        <tr r="AA62" s="2"/>
      </tp>
      <tp>
        <v>1183</v>
        <stp/>
        <stp>ContractData</stp>
        <stp>CLES1Q</stp>
        <stp>T_CVol</stp>
        <tr r="AA61" s="2"/>
      </tp>
      <tp>
        <v>1478</v>
        <stp/>
        <stp>ContractData</stp>
        <stp>CLES1N</stp>
        <stp>T_CVol</stp>
        <tr r="AA60" s="2"/>
      </tp>
      <tp>
        <v>5322</v>
        <stp/>
        <stp>ContractData</stp>
        <stp>CLES1M</stp>
        <stp>T_CVol</stp>
        <tr r="AA59" s="2"/>
      </tp>
      <tp>
        <v>8231</v>
        <stp/>
        <stp>ContractData</stp>
        <stp>CLES1K</stp>
        <stp>T_CVol</stp>
        <tr r="AA58" s="2"/>
      </tp>
      <tp>
        <v>12015</v>
        <stp/>
        <stp>ContractData</stp>
        <stp>CLES1J</stp>
        <stp>T_CVol</stp>
        <tr r="AA57" s="2"/>
      </tp>
      <tp>
        <v>27543</v>
        <stp/>
        <stp>ContractData</stp>
        <stp>CLES1H</stp>
        <stp>T_CVol</stp>
        <tr r="AA56" s="2"/>
      </tp>
      <tp>
        <v>-0.04</v>
        <stp/>
        <stp>StudyData</stp>
        <stp>Consolidate(CLES1?7-CLES1?8,5X,CLES1?7-CLES1?8,1,0)</stp>
        <stp>Bar</stp>
        <stp/>
        <stp>Open</stp>
        <stp>D</stp>
        <stp/>
        <stp/>
        <stp/>
        <stp/>
        <stp/>
        <stp>T</stp>
        <tr r="E50" s="2"/>
      </tp>
      <tp>
        <v>-0.02</v>
        <stp/>
        <stp>StudyData</stp>
        <stp>Consolidate(CLES1?3-CLES1?4,5X,CLES1?3-CLES1?4,1,0)</stp>
        <stp>Bar</stp>
        <stp/>
        <stp>Open</stp>
        <stp>D</stp>
        <stp/>
        <stp/>
        <stp/>
        <stp/>
        <stp/>
        <stp>T</stp>
        <tr r="E46" s="2"/>
      </tp>
      <tp>
        <v>-0.04</v>
        <stp/>
        <stp>StudyData</stp>
        <stp>Consolidate(CLES1?4-CLES1?5,5X,CLES1?4-CLES1?5,1,0)</stp>
        <stp>Bar</stp>
        <stp/>
        <stp>Open</stp>
        <stp>D</stp>
        <stp/>
        <stp/>
        <stp/>
        <stp/>
        <stp/>
        <stp>T</stp>
        <tr r="E47" s="2"/>
      </tp>
      <tp>
        <v>0.01</v>
        <stp/>
        <stp>StudyData</stp>
        <stp>Consolidate(CLES1?6-CLES1?7,5X,CLES1?6-CLES1?7,1,0)</stp>
        <stp>Bar</stp>
        <stp/>
        <stp>Open</stp>
        <stp>D</stp>
        <stp/>
        <stp/>
        <stp/>
        <stp/>
        <stp/>
        <stp>T</stp>
        <tr r="E49" s="2"/>
      </tp>
      <tp>
        <v>-0.01</v>
        <stp/>
        <stp>StudyData</stp>
        <stp>Consolidate(CLES1?8-CLES1?9,5X,CLES1?8-CLES1?9,1,0)</stp>
        <stp>Bar</stp>
        <stp/>
        <stp>Open</stp>
        <stp>D</stp>
        <stp/>
        <stp/>
        <stp/>
        <stp/>
        <stp/>
        <stp>T</stp>
        <tr r="E51" s="2"/>
      </tp>
      <tp>
        <v>0.25</v>
        <stp/>
        <stp>StudyData</stp>
        <stp>Consolidate(CLES1?1-CLES1?2,5X,CLES1?1-CLES1?2,1,0)</stp>
        <stp>Bar</stp>
        <stp/>
        <stp>Open</stp>
        <stp>D</stp>
        <stp/>
        <stp/>
        <stp/>
        <stp/>
        <stp/>
        <stp>T</stp>
        <tr r="E44" s="2"/>
      </tp>
      <tp>
        <v>-0.05</v>
        <stp/>
        <stp>StudyData</stp>
        <stp>Consolidate(CLES1?5-CLES1?6,5X,CLES1?5-CLES1?6,1,0)</stp>
        <stp>Bar</stp>
        <stp/>
        <stp>Open</stp>
        <stp>D</stp>
        <stp/>
        <stp/>
        <stp/>
        <stp/>
        <stp/>
        <stp>T</stp>
        <tr r="E48" s="2"/>
      </tp>
      <tp>
        <v>0.11</v>
        <stp/>
        <stp>StudyData</stp>
        <stp>Consolidate(CLES1?2-CLES1?3,5X,CLES1?2-CLES3?2,1,0)</stp>
        <stp>Bar</stp>
        <stp/>
        <stp>Open</stp>
        <stp>D</stp>
        <stp/>
        <stp/>
        <stp/>
        <stp/>
        <stp/>
        <stp>T</stp>
        <tr r="E45" s="2"/>
      </tp>
      <tp>
        <v>-0.04</v>
        <stp/>
        <stp>StudyData</stp>
        <stp>Consolidate(CLES1?7-CLES1?8,5X,CLES1?7-CLES1?8,1,0)</stp>
        <stp>Bar</stp>
        <stp/>
        <stp>High</stp>
        <stp>D</stp>
        <stp/>
        <stp/>
        <stp/>
        <stp/>
        <stp/>
        <stp>T</stp>
        <tr r="F50" s="2"/>
      </tp>
      <tp>
        <v>0.32</v>
        <stp/>
        <stp>StudyData</stp>
        <stp>Consolidate(CLES1?1-CLES1?2,5X,CLES1?1-CLES1?2,1,0)</stp>
        <stp>Bar</stp>
        <stp/>
        <stp>High</stp>
        <stp>D</stp>
        <stp/>
        <stp/>
        <stp/>
        <stp/>
        <stp/>
        <stp>T</stp>
        <tr r="F44" s="2"/>
      </tp>
      <tp>
        <v>-0.02</v>
        <stp/>
        <stp>StudyData</stp>
        <stp>Consolidate(CLES1?5-CLES1?6,5X,CLES1?5-CLES1?6,1,0)</stp>
        <stp>Bar</stp>
        <stp/>
        <stp>High</stp>
        <stp>D</stp>
        <stp/>
        <stp/>
        <stp/>
        <stp/>
        <stp/>
        <stp>T</stp>
        <tr r="F48" s="2"/>
      </tp>
      <tp>
        <v>0.11</v>
        <stp/>
        <stp>StudyData</stp>
        <stp>Consolidate(CLES1?2-CLES1?3,5X,CLES1?2-CLES1?3,1,0)</stp>
        <stp>Bar</stp>
        <stp/>
        <stp>High</stp>
        <stp>D</stp>
        <stp/>
        <stp/>
        <stp/>
        <stp/>
        <stp/>
        <stp>T</stp>
        <tr r="F45" s="2"/>
      </tp>
      <tp>
        <v>-0.01</v>
        <stp/>
        <stp>StudyData</stp>
        <stp>Consolidate(CLES1?4-CLES1?5,5X,CLES1?4-CLES1?5,1,0)</stp>
        <stp>Bar</stp>
        <stp/>
        <stp>High</stp>
        <stp>D</stp>
        <stp/>
        <stp/>
        <stp/>
        <stp/>
        <stp/>
        <stp>T</stp>
        <tr r="F47" s="2"/>
      </tp>
      <tp>
        <v>0.02</v>
        <stp/>
        <stp>StudyData</stp>
        <stp>Consolidate(CLES1?6-CLES1?7,5X,CLES1?6-CLES1?7,1,0)</stp>
        <stp>Bar</stp>
        <stp/>
        <stp>High</stp>
        <stp>D</stp>
        <stp/>
        <stp/>
        <stp/>
        <stp/>
        <stp/>
        <stp>T</stp>
        <tr r="F49" s="2"/>
      </tp>
      <tp>
        <v>0.03</v>
        <stp/>
        <stp>StudyData</stp>
        <stp>Consolidate(CLES1?8-CLES1?9,5X,CLES1?8-CLES1?9,1,0)</stp>
        <stp>Bar</stp>
        <stp/>
        <stp>High</stp>
        <stp>D</stp>
        <stp/>
        <stp/>
        <stp/>
        <stp/>
        <stp/>
        <stp>T</stp>
        <tr r="F51" s="2"/>
      </tp>
      <tp>
        <v>0.01</v>
        <stp/>
        <stp>StudyData</stp>
        <stp>Consolidate(CLES1?3-CLES1?4,5X,CLES1?3-CLES1?4,1,0)</stp>
        <stp>Bar</stp>
        <stp/>
        <stp>High</stp>
        <stp>D</stp>
        <stp/>
        <stp/>
        <stp/>
        <stp/>
        <stp/>
        <stp>T</stp>
        <tr r="F46" s="2"/>
      </tp>
      <tp>
        <v>-0.01</v>
        <stp/>
        <stp>StudyData</stp>
        <stp>Consolidate(CLES1?9-CLES1?10,5X,CLES1?9-CLES1?10,1,0)</stp>
        <stp>Bar</stp>
        <stp/>
        <stp>Close</stp>
        <stp>D</stp>
        <stp/>
        <stp/>
        <stp/>
        <stp/>
        <stp/>
        <stp>T</stp>
        <tr r="S44" s="2"/>
        <tr r="T42" s="6"/>
        <tr r="H52" s="2"/>
      </tp>
      <tp>
        <v>-0.12</v>
        <stp/>
        <stp>StudyData</stp>
        <stp>Consolidate(CLES1?10-CLES1?11,5X,CLES1?10-CLES1?11,1,0)</stp>
        <stp>Bar</stp>
        <stp/>
        <stp>Close</stp>
        <stp>D</stp>
        <stp/>
        <stp/>
        <stp/>
        <stp/>
        <stp/>
        <stp>T</stp>
        <tr r="T44" s="2"/>
        <tr r="H53" s="2"/>
      </tp>
      <tp>
        <v>-0.06</v>
        <stp/>
        <stp>StudyData</stp>
        <stp>Consolidate(CLES1?7-CLES1?8,5X,CLES1?7-CLES1?8,1,0)</stp>
        <stp>Bar</stp>
        <stp/>
        <stp>Close</stp>
        <stp>D</stp>
        <stp>0</stp>
        <stp/>
        <stp/>
        <stp/>
        <stp/>
        <stp>T</stp>
        <tr r="I50" s="2"/>
      </tp>
      <tp>
        <v>54.56</v>
        <stp/>
        <stp>ContractData</stp>
        <stp>CLEX5</stp>
        <stp>High</stp>
        <stp/>
        <stp>T</stp>
        <tr r="D22" s="2"/>
      </tp>
      <tp>
        <v>55.27</v>
        <stp/>
        <stp>ContractData</stp>
        <stp>CLEZ5</stp>
        <stp>High</stp>
        <stp/>
        <stp>T</stp>
        <tr r="D23" s="2"/>
      </tp>
      <tp>
        <v>53.52</v>
        <stp/>
        <stp>ContractData</stp>
        <stp>CLEU5</stp>
        <stp>High</stp>
        <stp/>
        <stp>T</stp>
        <tr r="D20" s="2"/>
      </tp>
      <tp>
        <v>53.99</v>
        <stp/>
        <stp>ContractData</stp>
        <stp>CLEV5</stp>
        <stp>High</stp>
        <stp/>
        <stp>T</stp>
        <tr r="D21" s="2"/>
      </tp>
      <tp>
        <v>52.76</v>
        <stp/>
        <stp>ContractData</stp>
        <stp>CLEQ5</stp>
        <stp>High</stp>
        <stp/>
        <stp>T</stp>
        <tr r="D19" s="2"/>
      </tp>
      <tp>
        <v>51.54</v>
        <stp/>
        <stp>ContractData</stp>
        <stp>CLEM5</stp>
        <stp>High</stp>
        <stp/>
        <stp>T</stp>
        <tr r="D17" s="2"/>
      </tp>
      <tp>
        <v>52.21</v>
        <stp/>
        <stp>ContractData</stp>
        <stp>CLEN5</stp>
        <stp>High</stp>
        <stp/>
        <stp>T</stp>
        <tr r="D18" s="2"/>
      </tp>
      <tp>
        <v>49.34</v>
        <stp/>
        <stp>ContractData</stp>
        <stp>CLEH5</stp>
        <stp>High</stp>
        <stp/>
        <stp>T</stp>
        <tr r="D14" s="2"/>
      </tp>
      <tp>
        <v>50.75</v>
        <stp/>
        <stp>ContractData</stp>
        <stp>CLEK5</stp>
        <stp>High</stp>
        <stp/>
        <stp>T</stp>
        <tr r="D16" s="2"/>
      </tp>
      <tp>
        <v>50.03</v>
        <stp/>
        <stp>ContractData</stp>
        <stp>CLEJ5</stp>
        <stp>High</stp>
        <stp/>
        <stp>T</stp>
        <tr r="D15" s="2"/>
      </tp>
      <tp>
        <v>48.870000000000005</v>
        <stp/>
        <stp>ContractData</stp>
        <stp>CLEG5</stp>
        <stp>High</stp>
        <stp/>
        <stp>T</stp>
        <tr r="D13" s="2"/>
      </tp>
      <tp>
        <v>1478</v>
        <stp/>
        <stp>ContractData</stp>
        <stp>CLES1N5</stp>
        <stp>T_CVol</stp>
        <tr r="I33" s="2"/>
      </tp>
      <tp>
        <v>5322</v>
        <stp/>
        <stp>ContractData</stp>
        <stp>CLES1M5</stp>
        <stp>T_CVol</stp>
        <tr r="I32" s="2"/>
      </tp>
      <tp>
        <v>8231</v>
        <stp/>
        <stp>ContractData</stp>
        <stp>CLES1K5</stp>
        <stp>T_CVol</stp>
        <tr r="I31" s="2"/>
      </tp>
      <tp>
        <v>12015</v>
        <stp/>
        <stp>ContractData</stp>
        <stp>CLES1J5</stp>
        <stp>T_CVol</stp>
        <tr r="I30" s="2"/>
      </tp>
      <tp>
        <v>27543</v>
        <stp/>
        <stp>ContractData</stp>
        <stp>CLES1H5</stp>
        <stp>T_CVol</stp>
        <tr r="I29" s="2"/>
      </tp>
      <tp>
        <v>93665</v>
        <stp/>
        <stp>ContractData</stp>
        <stp>CLES1G5</stp>
        <stp>T_CVol</stp>
        <tr r="I28" s="2"/>
      </tp>
      <tp>
        <v>162</v>
        <stp/>
        <stp>ContractData</stp>
        <stp>CLES1F6</stp>
        <stp>T_CVol</stp>
        <tr r="I39" s="2"/>
      </tp>
      <tp>
        <v>335</v>
        <stp/>
        <stp>ContractData</stp>
        <stp>CLES1Z5</stp>
        <stp>T_CVol</stp>
        <tr r="I38" s="2"/>
      </tp>
      <tp>
        <v>784</v>
        <stp/>
        <stp>ContractData</stp>
        <stp>CLES1X5</stp>
        <stp>T_CVol</stp>
        <tr r="I37" s="2"/>
      </tp>
      <tp>
        <v>614</v>
        <stp/>
        <stp>ContractData</stp>
        <stp>CLES1V5</stp>
        <stp>T_CVol</stp>
        <tr r="I36" s="2"/>
      </tp>
      <tp>
        <v>648</v>
        <stp/>
        <stp>ContractData</stp>
        <stp>CLES1U5</stp>
        <stp>T_CVol</stp>
        <tr r="I35" s="2"/>
      </tp>
      <tp>
        <v>1183</v>
        <stp/>
        <stp>ContractData</stp>
        <stp>CLES1Q5</stp>
        <stp>T_CVol</stp>
        <tr r="I34" s="2"/>
      </tp>
      <tp>
        <v>46.35</v>
        <stp/>
        <stp>ContractData</stp>
        <stp>CLEG5</stp>
        <stp>Open</stp>
        <stp/>
        <stp>T</stp>
        <tr r="C13" s="2"/>
      </tp>
      <tp>
        <v>49.13</v>
        <stp/>
        <stp>ContractData</stp>
        <stp>CLEM5</stp>
        <stp>Open</stp>
        <stp/>
        <stp>T</stp>
        <tr r="C17" s="2"/>
      </tp>
      <tp>
        <v>49.83</v>
        <stp/>
        <stp>ContractData</stp>
        <stp>CLEN5</stp>
        <stp>Open</stp>
        <stp/>
        <stp>T</stp>
        <tr r="C18" s="2"/>
      </tp>
      <tp>
        <v>46.730000000000004</v>
        <stp/>
        <stp>ContractData</stp>
        <stp>CLEH5</stp>
        <stp>Open</stp>
        <stp/>
        <stp>T</stp>
        <tr r="C14" s="2"/>
      </tp>
      <tp>
        <v>47.52</v>
        <stp/>
        <stp>ContractData</stp>
        <stp>CLEJ5</stp>
        <stp>Open</stp>
        <stp/>
        <stp>T</stp>
        <tr r="C15" s="2"/>
      </tp>
      <tp>
        <v>48.120000000000005</v>
        <stp/>
        <stp>ContractData</stp>
        <stp>CLEK5</stp>
        <stp>Open</stp>
        <stp/>
        <stp>T</stp>
        <tr r="C16" s="2"/>
      </tp>
      <tp>
        <v>51.6</v>
        <stp/>
        <stp>ContractData</stp>
        <stp>CLEU5</stp>
        <stp>Open</stp>
        <stp/>
        <stp>T</stp>
        <tr r="C20" s="2"/>
      </tp>
      <tp>
        <v>52.4</v>
        <stp/>
        <stp>ContractData</stp>
        <stp>CLEV5</stp>
        <stp>Open</stp>
        <stp/>
        <stp>T</stp>
        <tr r="C21" s="2"/>
      </tp>
      <tp>
        <v>50.300000000000004</v>
        <stp/>
        <stp>ContractData</stp>
        <stp>CLEQ5</stp>
        <stp>Open</stp>
        <stp/>
        <stp>T</stp>
        <tr r="C19" s="2"/>
      </tp>
      <tp>
        <v>53.300000000000004</v>
        <stp/>
        <stp>ContractData</stp>
        <stp>CLEX5</stp>
        <stp>Open</stp>
        <stp/>
        <stp>T</stp>
        <tr r="C22" s="2"/>
      </tp>
      <tp>
        <v>53</v>
        <stp/>
        <stp>ContractData</stp>
        <stp>CLEZ5</stp>
        <stp>Open</stp>
        <stp/>
        <stp>T</stp>
        <tr r="C23" s="2"/>
      </tp>
      <tp>
        <v>0</v>
        <stp/>
        <stp>StudyData</stp>
        <stp>Consolidate(CLES1?9-CLES1?10,5X,CLES1?9-CLES1?10,1,0)</stp>
        <stp>Bar</stp>
        <stp/>
        <stp>Close</stp>
        <stp>D</stp>
        <stp>-1</stp>
        <stp/>
        <stp/>
        <stp/>
        <stp/>
        <stp>T</stp>
        <tr r="U42" s="6"/>
        <tr r="I52" s="2"/>
      </tp>
      <tp t="s">
        <v>CLEF6</v>
        <stp/>
        <stp>ContractData</stp>
        <stp>CLEF6</stp>
        <stp>Symbol</stp>
        <tr r="T6" s="2"/>
      </tp>
      <tp t="s">
        <v>CLEG6</v>
        <stp/>
        <stp>ContractData</stp>
        <stp>CLEG6</stp>
        <stp>Symbol</stp>
        <tr r="U6" s="2"/>
      </tp>
      <tp t="s">
        <v>CLEH5</v>
        <stp/>
        <stp>ContractData</stp>
        <stp>CLEH5</stp>
        <stp>Symbol</stp>
        <tr r="J6" s="2"/>
      </tp>
      <tp t="s">
        <v>CLEJ5</v>
        <stp/>
        <stp>ContractData</stp>
        <stp>CLEJ5</stp>
        <stp>Symbol</stp>
        <tr r="K6" s="2"/>
      </tp>
      <tp t="s">
        <v>CLEK5</v>
        <stp/>
        <stp>ContractData</stp>
        <stp>CLEK5</stp>
        <stp>Symbol</stp>
        <tr r="L6" s="2"/>
      </tp>
      <tp t="s">
        <v>CLEM5</v>
        <stp/>
        <stp>ContractData</stp>
        <stp>CLEM5</stp>
        <stp>Symbol</stp>
        <tr r="M6" s="2"/>
      </tp>
      <tp t="s">
        <v>CLEN5</v>
        <stp/>
        <stp>ContractData</stp>
        <stp>CLEN5</stp>
        <stp>Symbol</stp>
        <tr r="N6" s="2"/>
      </tp>
      <tp t="s">
        <v>CLEQ5</v>
        <stp/>
        <stp>ContractData</stp>
        <stp>CLEQ5</stp>
        <stp>Symbol</stp>
        <tr r="O6" s="2"/>
      </tp>
      <tp t="s">
        <v>CLEU5</v>
        <stp/>
        <stp>ContractData</stp>
        <stp>CLEU5</stp>
        <stp>Symbol</stp>
        <tr r="P6" s="2"/>
      </tp>
      <tp t="s">
        <v>CLEV5</v>
        <stp/>
        <stp>ContractData</stp>
        <stp>CLEV5</stp>
        <stp>Symbol</stp>
        <tr r="Q6" s="2"/>
      </tp>
      <tp t="s">
        <v>CLEX5</v>
        <stp/>
        <stp>ContractData</stp>
        <stp>CLEX5</stp>
        <stp>Symbol</stp>
        <tr r="R6" s="2"/>
      </tp>
      <tp t="s">
        <v>CLEZ5</v>
        <stp/>
        <stp>ContractData</stp>
        <stp>CLEZ5</stp>
        <stp>Symbol</stp>
        <tr r="S6" s="2"/>
      </tp>
      <tp t="s">
        <v>CLEH5</v>
        <stp/>
        <stp>ContractData</stp>
        <stp>CLE?2</stp>
        <stp>Symbol</stp>
        <tr r="Q2" s="6"/>
        <tr r="S36" s="6"/>
        <tr r="A14" s="2"/>
      </tp>
      <tp t="s">
        <v>CLEJ5</v>
        <stp/>
        <stp>ContractData</stp>
        <stp>CLE?3</stp>
        <stp>Symbol</stp>
        <tr r="Q3" s="6"/>
        <tr r="A15" s="2"/>
      </tp>
      <tp t="s">
        <v>CLEG5</v>
        <stp/>
        <stp>ContractData</stp>
        <stp>CLE?1</stp>
        <stp>Symbol</stp>
        <tr r="A13" s="2"/>
        <tr r="S35" s="6"/>
      </tp>
      <tp t="s">
        <v>CLEN5</v>
        <stp/>
        <stp>ContractData</stp>
        <stp>CLE?6</stp>
        <stp>Symbol</stp>
        <tr r="Q6" s="6"/>
        <tr r="A18" s="2"/>
      </tp>
      <tp t="s">
        <v>CLEQ5</v>
        <stp/>
        <stp>ContractData</stp>
        <stp>CLE?7</stp>
        <stp>Symbol</stp>
        <tr r="Q7" s="6"/>
        <tr r="A19" s="2"/>
      </tp>
      <tp t="s">
        <v>CLEK5</v>
        <stp/>
        <stp>ContractData</stp>
        <stp>CLE?4</stp>
        <stp>Symbol</stp>
        <tr r="Q4" s="6"/>
        <tr r="A16" s="2"/>
      </tp>
      <tp t="s">
        <v>CLEM5</v>
        <stp/>
        <stp>ContractData</stp>
        <stp>CLE?5</stp>
        <stp>Symbol</stp>
        <tr r="Q5" s="6"/>
        <tr r="A17" s="2"/>
      </tp>
      <tp t="s">
        <v>CLEU5</v>
        <stp/>
        <stp>ContractData</stp>
        <stp>CLE?8</stp>
        <stp>Symbol</stp>
        <tr r="Q8" s="6"/>
        <tr r="A20" s="2"/>
      </tp>
      <tp t="s">
        <v>CLEV5</v>
        <stp/>
        <stp>ContractData</stp>
        <stp>CLE?9</stp>
        <stp>Symbol</stp>
        <tr r="Q9" s="6"/>
        <tr r="A21" s="2"/>
      </tp>
      <tp t="s">
        <v>SEP</v>
        <stp/>
        <stp>ContractData</stp>
        <stp>CLEU5</stp>
        <stp>ContractMonth</stp>
        <tr r="B8" s="6"/>
      </tp>
      <tp t="s">
        <v>OCT</v>
        <stp/>
        <stp>ContractData</stp>
        <stp>CLEV5</stp>
        <stp>ContractMonth</stp>
        <tr r="B9" s="6"/>
      </tp>
      <tp t="s">
        <v>AUG</v>
        <stp/>
        <stp>ContractData</stp>
        <stp>CLEQ5</stp>
        <stp>ContractMonth</stp>
        <tr r="B7" s="6"/>
      </tp>
      <tp t="s">
        <v>NOV</v>
        <stp/>
        <stp>ContractData</stp>
        <stp>CLEX5</stp>
        <stp>ContractMonth</stp>
        <tr r="B10" s="6"/>
      </tp>
      <tp t="s">
        <v>DEC</v>
        <stp/>
        <stp>ContractData</stp>
        <stp>CLEZ5</stp>
        <stp>ContractMonth</stp>
        <tr r="B11" s="6"/>
      </tp>
      <tp t="s">
        <v>JUN</v>
        <stp/>
        <stp>ContractData</stp>
        <stp>CLEM5</stp>
        <stp>ContractMonth</stp>
        <tr r="B5" s="6"/>
      </tp>
      <tp t="s">
        <v>JUL</v>
        <stp/>
        <stp>ContractData</stp>
        <stp>CLEN5</stp>
        <stp>ContractMonth</stp>
        <tr r="B6" s="6"/>
      </tp>
      <tp t="s">
        <v>MAR</v>
        <stp/>
        <stp>ContractData</stp>
        <stp>CLEH5</stp>
        <stp>ContractMonth</stp>
        <tr r="B2" s="6"/>
      </tp>
      <tp t="s">
        <v>APR</v>
        <stp/>
        <stp>ContractData</stp>
        <stp>CLEJ5</stp>
        <stp>ContractMonth</stp>
        <tr r="B3" s="6"/>
      </tp>
      <tp t="s">
        <v>MAY</v>
        <stp/>
        <stp>ContractData</stp>
        <stp>CLEK5</stp>
        <stp>ContractMonth</stp>
        <tr r="B4" s="6"/>
      </tp>
      <tp t="s">
        <v>CLES1F6</v>
        <stp/>
        <stp>ContractData</stp>
        <stp>CLES1?12</stp>
        <stp>Symbol</stp>
        <tr r="A39" s="2"/>
      </tp>
      <tp t="s">
        <v>CLES1X5</v>
        <stp/>
        <stp>ContractData</stp>
        <stp>CLES1?10</stp>
        <stp>Symbol</stp>
        <tr r="A37" s="2"/>
      </tp>
      <tp t="s">
        <v>CLES1Z5</v>
        <stp/>
        <stp>ContractData</stp>
        <stp>CLES1?11</stp>
        <stp>Symbol</stp>
        <tr r="A38" s="2"/>
      </tp>
      <tp t="s">
        <v>JAN</v>
        <stp/>
        <stp>ContractData</stp>
        <stp>CLEF6</stp>
        <stp>ContractMonth</stp>
        <tr r="B12" s="6"/>
      </tp>
      <tp t="s">
        <v>FEB</v>
        <stp/>
        <stp>ContractData</stp>
        <stp>CLEG6</stp>
        <stp>ContractMonth</stp>
        <tr r="B13" s="6"/>
      </tp>
      <tp>
        <v>0.01</v>
        <stp/>
        <stp>ContractData</stp>
        <stp>SPREAD(CLES1?9-CLES1?10)</stp>
        <stp>Ask</stp>
        <stp/>
        <stp>T</stp>
        <tr r="S42" s="2"/>
      </tp>
      <tp>
        <v>-0.03</v>
        <stp/>
        <stp>ContractData</stp>
        <stp>SPREAD(CLES1?9-CLES1?10)</stp>
        <stp>Bid</stp>
        <stp/>
        <stp>T</stp>
        <tr r="S43" s="2"/>
      </tp>
      <tp t="s">
        <v>FEB</v>
        <stp/>
        <stp>ContractData</stp>
        <stp>CLE?1</stp>
        <stp>ContractMonth</stp>
        <tr r="R35" s="6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13825546884047E-2"/>
          <c:y val="3.1973569206350527E-2"/>
          <c:w val="0.92055420285236644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CLE!$AG$2:$AG$12</c:f>
              <c:numCache>
                <c:formatCode>General</c:formatCode>
                <c:ptCount val="11"/>
                <c:pt idx="0">
                  <c:v>-0.63</c:v>
                </c:pt>
                <c:pt idx="1">
                  <c:v>-0.74</c:v>
                </c:pt>
                <c:pt idx="2">
                  <c:v>-0.74</c:v>
                </c:pt>
                <c:pt idx="3">
                  <c:v>-0.70000000000000007</c:v>
                </c:pt>
                <c:pt idx="4">
                  <c:v>-0.65</c:v>
                </c:pt>
                <c:pt idx="5">
                  <c:v>-0.63500000000000001</c:v>
                </c:pt>
                <c:pt idx="6">
                  <c:v>-0.59</c:v>
                </c:pt>
                <c:pt idx="7">
                  <c:v>-0.57999999999999996</c:v>
                </c:pt>
                <c:pt idx="8">
                  <c:v>-0.57000000000000006</c:v>
                </c:pt>
                <c:pt idx="9">
                  <c:v>-0.45</c:v>
                </c:pt>
                <c:pt idx="10">
                  <c:v>-0.45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CLE!$AI$2:$AI$13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CLE!$AK$2:$AK$12</c:f>
              <c:numCache>
                <c:formatCode>General</c:formatCode>
                <c:ptCount val="11"/>
                <c:pt idx="0">
                  <c:v>-0.71</c:v>
                </c:pt>
                <c:pt idx="1">
                  <c:v>-0.78</c:v>
                </c:pt>
                <c:pt idx="2">
                  <c:v>-0.75</c:v>
                </c:pt>
                <c:pt idx="3">
                  <c:v>-0.72</c:v>
                </c:pt>
                <c:pt idx="4">
                  <c:v>-0.67</c:v>
                </c:pt>
                <c:pt idx="5">
                  <c:v>-0.65</c:v>
                </c:pt>
                <c:pt idx="6">
                  <c:v>-0.57999999999999996</c:v>
                </c:pt>
                <c:pt idx="7">
                  <c:v>-0.57000000000000006</c:v>
                </c:pt>
                <c:pt idx="8">
                  <c:v>-0.56000000000000005</c:v>
                </c:pt>
                <c:pt idx="9">
                  <c:v>-0.44</c:v>
                </c:pt>
                <c:pt idx="10">
                  <c:v>-0.45</c:v>
                </c:pt>
              </c:numCache>
            </c:numRef>
          </c:val>
          <c:smooth val="0"/>
        </c:ser>
        <c:ser>
          <c:idx val="2"/>
          <c:order val="2"/>
          <c:tx>
            <c:v>First MA</c:v>
          </c:tx>
          <c:spPr>
            <a:ln>
              <a:solidFill>
                <a:srgbClr val="FFC000"/>
              </a:solidFill>
            </a:ln>
          </c:spPr>
          <c:cat>
            <c:strRef>
              <c:f>CLE!$AI$2:$AI$13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CLE!$X$21:$X$31</c:f>
              <c:numCache>
                <c:formatCode>0.00</c:formatCode>
                <c:ptCount val="11"/>
              </c:numCache>
            </c:numRef>
          </c:val>
          <c:smooth val="0"/>
        </c:ser>
        <c:ser>
          <c:idx val="3"/>
          <c:order val="3"/>
          <c:tx>
            <c:v>Second MA</c:v>
          </c:tx>
          <c:spPr>
            <a:ln>
              <a:solidFill>
                <a:srgbClr val="00B050"/>
              </a:solidFill>
            </a:ln>
          </c:spPr>
          <c:cat>
            <c:strRef>
              <c:f>CLE!$AI$2:$AI$13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CLE!$Y$21:$Y$31</c:f>
              <c:numCache>
                <c:formatCode>0.00</c:formatCode>
                <c:ptCount val="11"/>
              </c:numCache>
            </c:numRef>
          </c:val>
          <c:smooth val="0"/>
        </c:ser>
        <c:ser>
          <c:idx val="4"/>
          <c:order val="4"/>
          <c:tx>
            <c:v>Third MA</c:v>
          </c:tx>
          <c:spPr>
            <a:ln>
              <a:solidFill>
                <a:schemeClr val="accent6"/>
              </a:solidFill>
            </a:ln>
          </c:spPr>
          <c:cat>
            <c:strRef>
              <c:f>CLE!$AI$2:$AI$13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CLE!$Z$21:$Z$31</c:f>
              <c:numCache>
                <c:formatCode>0.00</c:formatCode>
                <c:ptCount val="1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605824"/>
        <c:axId val="721606216"/>
      </c:lineChart>
      <c:catAx>
        <c:axId val="72160582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721606216"/>
        <c:crosses val="autoZero"/>
        <c:auto val="1"/>
        <c:lblAlgn val="ctr"/>
        <c:lblOffset val="100"/>
        <c:noMultiLvlLbl val="0"/>
      </c:catAx>
      <c:valAx>
        <c:axId val="721606216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72160582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48909274152583E-2"/>
          <c:y val="5.5766837932467436E-2"/>
          <c:w val="0.95494257157560014"/>
          <c:h val="0.838618023789063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CLE!$AH$2:$AH$13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CLE!$AF$2:$AF$13</c:f>
              <c:numCache>
                <c:formatCode>General</c:formatCode>
                <c:ptCount val="12"/>
                <c:pt idx="0">
                  <c:v>48.76</c:v>
                </c:pt>
                <c:pt idx="1">
                  <c:v>49.405000000000001</c:v>
                </c:pt>
                <c:pt idx="2">
                  <c:v>50.150000000000006</c:v>
                </c:pt>
                <c:pt idx="3">
                  <c:v>50.89</c:v>
                </c:pt>
                <c:pt idx="4">
                  <c:v>51.6</c:v>
                </c:pt>
                <c:pt idx="5">
                  <c:v>52.245000000000005</c:v>
                </c:pt>
                <c:pt idx="6">
                  <c:v>52.89</c:v>
                </c:pt>
                <c:pt idx="7">
                  <c:v>53.534999999999997</c:v>
                </c:pt>
                <c:pt idx="8">
                  <c:v>54.120000000000005</c:v>
                </c:pt>
                <c:pt idx="9">
                  <c:v>54.6</c:v>
                </c:pt>
                <c:pt idx="10">
                  <c:v>55.165000000000006</c:v>
                </c:pt>
                <c:pt idx="11">
                  <c:v>55.2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CLE!$AH$2:$AH$13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CLE!$AL$2:$AL$13</c:f>
              <c:numCache>
                <c:formatCode>General</c:formatCode>
                <c:ptCount val="12"/>
                <c:pt idx="0">
                  <c:v>49.13</c:v>
                </c:pt>
                <c:pt idx="1">
                  <c:v>49.84</c:v>
                </c:pt>
                <c:pt idx="2">
                  <c:v>50.620000000000005</c:v>
                </c:pt>
                <c:pt idx="3">
                  <c:v>51.370000000000005</c:v>
                </c:pt>
                <c:pt idx="4">
                  <c:v>52.09</c:v>
                </c:pt>
                <c:pt idx="5">
                  <c:v>52.76</c:v>
                </c:pt>
                <c:pt idx="6">
                  <c:v>53.410000000000004</c:v>
                </c:pt>
                <c:pt idx="7">
                  <c:v>53.99</c:v>
                </c:pt>
                <c:pt idx="8">
                  <c:v>54.56</c:v>
                </c:pt>
                <c:pt idx="9">
                  <c:v>55.120000000000005</c:v>
                </c:pt>
                <c:pt idx="10">
                  <c:v>55.56</c:v>
                </c:pt>
                <c:pt idx="11">
                  <c:v>56.01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438816"/>
        <c:axId val="562439208"/>
      </c:lineChart>
      <c:catAx>
        <c:axId val="56243881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62439208"/>
        <c:crosses val="autoZero"/>
        <c:auto val="1"/>
        <c:lblAlgn val="ctr"/>
        <c:lblOffset val="100"/>
        <c:noMultiLvlLbl val="0"/>
      </c:catAx>
      <c:valAx>
        <c:axId val="562439208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562438816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27392220430004E-2"/>
          <c:y val="5.5453682814787818E-2"/>
          <c:w val="0.90566991036394617"/>
          <c:h val="0.8700360607098026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CLE!$V$34:$V$43</c:f>
              <c:strCache>
                <c:ptCount val="10"/>
                <c:pt idx="0">
                  <c:v>MAR, APR, MAY</c:v>
                </c:pt>
                <c:pt idx="1">
                  <c:v>APR, MAY, JUN</c:v>
                </c:pt>
                <c:pt idx="2">
                  <c:v>MAY, JUN, JUL</c:v>
                </c:pt>
                <c:pt idx="3">
                  <c:v>JUN, JUL, AUG</c:v>
                </c:pt>
                <c:pt idx="4">
                  <c:v>JUL, AUG, SEP</c:v>
                </c:pt>
                <c:pt idx="5">
                  <c:v>AUG, SEP, OCT</c:v>
                </c:pt>
                <c:pt idx="6">
                  <c:v>SEP, OCT, NOV</c:v>
                </c:pt>
                <c:pt idx="7">
                  <c:v>OCT, NOV, DEC</c:v>
                </c:pt>
                <c:pt idx="8">
                  <c:v>NOV, DEC, JAN</c:v>
                </c:pt>
                <c:pt idx="9">
                  <c:v>DEC, JAN, FEB</c:v>
                </c:pt>
              </c:strCache>
            </c:strRef>
          </c:cat>
          <c:val>
            <c:numRef>
              <c:f>CLE!$T$34:$T$43</c:f>
              <c:numCache>
                <c:formatCode>0.00</c:formatCode>
                <c:ptCount val="10"/>
                <c:pt idx="0">
                  <c:v>0.19</c:v>
                </c:pt>
                <c:pt idx="1">
                  <c:v>0.11</c:v>
                </c:pt>
                <c:pt idx="2">
                  <c:v>0</c:v>
                </c:pt>
                <c:pt idx="3">
                  <c:v>-0.04</c:v>
                </c:pt>
                <c:pt idx="4">
                  <c:v>-0.05</c:v>
                </c:pt>
                <c:pt idx="5">
                  <c:v>0</c:v>
                </c:pt>
                <c:pt idx="6">
                  <c:v>-0.06</c:v>
                </c:pt>
                <c:pt idx="7">
                  <c:v>-0.01</c:v>
                </c:pt>
                <c:pt idx="8">
                  <c:v>-0.01</c:v>
                </c:pt>
                <c:pt idx="9">
                  <c:v>-0.12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CLE!$V$34:$V$43</c:f>
              <c:strCache>
                <c:ptCount val="10"/>
                <c:pt idx="0">
                  <c:v>MAR, APR, MAY</c:v>
                </c:pt>
                <c:pt idx="1">
                  <c:v>APR, MAY, JUN</c:v>
                </c:pt>
                <c:pt idx="2">
                  <c:v>MAY, JUN, JUL</c:v>
                </c:pt>
                <c:pt idx="3">
                  <c:v>JUN, JUL, AUG</c:v>
                </c:pt>
                <c:pt idx="4">
                  <c:v>JUL, AUG, SEP</c:v>
                </c:pt>
                <c:pt idx="5">
                  <c:v>AUG, SEP, OCT</c:v>
                </c:pt>
                <c:pt idx="6">
                  <c:v>SEP, OCT, NOV</c:v>
                </c:pt>
                <c:pt idx="7">
                  <c:v>OCT, NOV, DEC</c:v>
                </c:pt>
                <c:pt idx="8">
                  <c:v>NOV, DEC, JAN</c:v>
                </c:pt>
                <c:pt idx="9">
                  <c:v>DEC, JAN, FEB</c:v>
                </c:pt>
              </c:strCache>
            </c:strRef>
          </c:cat>
          <c:val>
            <c:numRef>
              <c:f>CLE!$U$34:$U$43</c:f>
              <c:numCache>
                <c:formatCode>0.00</c:formatCode>
                <c:ptCount val="10"/>
                <c:pt idx="0">
                  <c:v>0.26</c:v>
                </c:pt>
                <c:pt idx="1">
                  <c:v>0.1</c:v>
                </c:pt>
                <c:pt idx="2">
                  <c:v>-0.02</c:v>
                </c:pt>
                <c:pt idx="3">
                  <c:v>-0.03</c:v>
                </c:pt>
                <c:pt idx="4">
                  <c:v>-0.05</c:v>
                </c:pt>
                <c:pt idx="5">
                  <c:v>0.01</c:v>
                </c:pt>
                <c:pt idx="6">
                  <c:v>-0.04</c:v>
                </c:pt>
                <c:pt idx="7">
                  <c:v>-0.02</c:v>
                </c:pt>
                <c:pt idx="8">
                  <c:v>0</c:v>
                </c:pt>
                <c:pt idx="9">
                  <c:v>-0.14000000000000001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439992"/>
        <c:axId val="680008808"/>
      </c:lineChart>
      <c:catAx>
        <c:axId val="56243999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680008808"/>
        <c:crosses val="autoZero"/>
        <c:auto val="1"/>
        <c:lblAlgn val="ctr"/>
        <c:lblOffset val="100"/>
        <c:noMultiLvlLbl val="0"/>
      </c:catAx>
      <c:valAx>
        <c:axId val="680008808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56243999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28</xdr:row>
      <xdr:rowOff>38099</xdr:rowOff>
    </xdr:from>
    <xdr:to>
      <xdr:col>20</xdr:col>
      <xdr:colOff>933449</xdr:colOff>
      <xdr:row>39</xdr:row>
      <xdr:rowOff>133350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49480</xdr:colOff>
      <xdr:row>11</xdr:row>
      <xdr:rowOff>108857</xdr:rowOff>
    </xdr:from>
    <xdr:to>
      <xdr:col>20</xdr:col>
      <xdr:colOff>815067</xdr:colOff>
      <xdr:row>23</xdr:row>
      <xdr:rowOff>128650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263220</xdr:colOff>
      <xdr:row>26</xdr:row>
      <xdr:rowOff>51181</xdr:rowOff>
    </xdr:from>
    <xdr:ext cx="525937" cy="121956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0745" y="4261231"/>
          <a:ext cx="525937" cy="121956"/>
        </a:xfrm>
        <a:prstGeom prst="rect">
          <a:avLst/>
        </a:prstGeom>
      </xdr:spPr>
    </xdr:pic>
    <xdr:clientData/>
  </xdr:oneCellAnchor>
  <xdr:oneCellAnchor>
    <xdr:from>
      <xdr:col>9</xdr:col>
      <xdr:colOff>244170</xdr:colOff>
      <xdr:row>42</xdr:row>
      <xdr:rowOff>51181</xdr:rowOff>
    </xdr:from>
    <xdr:ext cx="525937" cy="121956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1695" y="7452106"/>
          <a:ext cx="525937" cy="121956"/>
        </a:xfrm>
        <a:prstGeom prst="rect">
          <a:avLst/>
        </a:prstGeom>
      </xdr:spPr>
    </xdr:pic>
    <xdr:clientData/>
  </xdr:oneCellAnchor>
  <xdr:twoCellAnchor>
    <xdr:from>
      <xdr:col>9</xdr:col>
      <xdr:colOff>19049</xdr:colOff>
      <xdr:row>44</xdr:row>
      <xdr:rowOff>38100</xdr:rowOff>
    </xdr:from>
    <xdr:to>
      <xdr:col>20</xdr:col>
      <xdr:colOff>19050</xdr:colOff>
      <xdr:row>55</xdr:row>
      <xdr:rowOff>171450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742950</xdr:colOff>
      <xdr:row>12</xdr:row>
      <xdr:rowOff>107001</xdr:rowOff>
    </xdr:from>
    <xdr:to>
      <xdr:col>10</xdr:col>
      <xdr:colOff>304735</xdr:colOff>
      <xdr:row>13</xdr:row>
      <xdr:rowOff>42785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2197" y="1502352"/>
          <a:ext cx="521707" cy="123810"/>
        </a:xfrm>
        <a:prstGeom prst="rect">
          <a:avLst/>
        </a:prstGeom>
      </xdr:spPr>
    </xdr:pic>
    <xdr:clientData/>
  </xdr:twoCellAnchor>
  <xdr:oneCellAnchor>
    <xdr:from>
      <xdr:col>4</xdr:col>
      <xdr:colOff>742950</xdr:colOff>
      <xdr:row>55</xdr:row>
      <xdr:rowOff>57150</xdr:rowOff>
    </xdr:from>
    <xdr:ext cx="525937" cy="121956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76650" y="9658350"/>
          <a:ext cx="525937" cy="12195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0.88574</cdr:x>
      <cdr:y>0.79527</cdr:y>
    </cdr:from>
    <cdr:to>
      <cdr:x>0.99278</cdr:x>
      <cdr:y>0.88638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54141" y="1900421"/>
          <a:ext cx="1227119" cy="217714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tx1"/>
            </a:gs>
            <a:gs pos="50000">
              <a:srgbClr val="002060"/>
            </a:gs>
            <a:gs pos="100000">
              <a:schemeClr val="tx1"/>
            </a:gs>
          </a:gsLst>
          <a:lin ang="5400000" scaled="0"/>
        </a:gra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accent1"/>
              </a:solidFill>
            </a:rPr>
            <a:t>Red line:  Settlement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68"/>
  <sheetViews>
    <sheetView showGridLines="0" showRowColHeaders="0" tabSelected="1" topLeftCell="A3" zoomScale="77" zoomScaleNormal="77" workbookViewId="0">
      <selection activeCell="K43" sqref="K43"/>
    </sheetView>
  </sheetViews>
  <sheetFormatPr defaultColWidth="9" defaultRowHeight="12.6" x14ac:dyDescent="0.25"/>
  <cols>
    <col min="1" max="1" width="0.3984375" style="27" customWidth="1"/>
    <col min="2" max="2" width="16.59765625" style="1" customWidth="1"/>
    <col min="3" max="6" width="10.69921875" style="1" customWidth="1"/>
    <col min="7" max="7" width="9.59765625" style="1" customWidth="1"/>
    <col min="8" max="8" width="8.59765625" style="1" customWidth="1"/>
    <col min="9" max="9" width="10.59765625" style="1" customWidth="1"/>
    <col min="10" max="15" width="12.59765625" style="1" customWidth="1"/>
    <col min="16" max="16" width="12.59765625" style="10" customWidth="1"/>
    <col min="17" max="21" width="12.59765625" style="1" customWidth="1"/>
    <col min="22" max="22" width="10.69921875" style="10" customWidth="1"/>
    <col min="23" max="24" width="10.69921875" style="11" customWidth="1"/>
    <col min="25" max="34" width="9" style="11"/>
    <col min="35" max="49" width="9" style="10"/>
    <col min="50" max="16384" width="9" style="1"/>
  </cols>
  <sheetData>
    <row r="1" spans="1:45" ht="9" hidden="1" customHeight="1" x14ac:dyDescent="0.25"/>
    <row r="2" spans="1:45" ht="9" hidden="1" customHeight="1" thickBot="1" x14ac:dyDescent="0.3"/>
    <row r="3" spans="1:45" ht="5.0999999999999996" customHeight="1" x14ac:dyDescent="0.25">
      <c r="B3" s="160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34"/>
      <c r="V3" s="101"/>
      <c r="W3" s="101"/>
    </row>
    <row r="4" spans="1:45" ht="15.9" customHeight="1" x14ac:dyDescent="0.25">
      <c r="B4" s="184" t="str">
        <f>"CQG "&amp;RTD("cqg.rtd",,"ContractData",J6,"LongDescription")</f>
        <v>CQG Crude Light (Globex), Mar 15</v>
      </c>
      <c r="C4" s="178"/>
      <c r="D4" s="178"/>
      <c r="E4" s="178"/>
      <c r="F4" s="178"/>
      <c r="G4" s="178"/>
      <c r="H4" s="178"/>
      <c r="I4" s="178"/>
      <c r="J4" s="177" t="s">
        <v>35</v>
      </c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9"/>
      <c r="V4" s="102"/>
      <c r="W4" s="102"/>
    </row>
    <row r="5" spans="1:45" ht="15.9" customHeight="1" x14ac:dyDescent="0.25">
      <c r="B5" s="185"/>
      <c r="C5" s="186"/>
      <c r="D5" s="186"/>
      <c r="E5" s="186"/>
      <c r="F5" s="186"/>
      <c r="G5" s="186"/>
      <c r="H5" s="186"/>
      <c r="I5" s="186"/>
      <c r="J5" s="180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2"/>
      <c r="V5" s="101"/>
      <c r="W5" s="101"/>
    </row>
    <row r="6" spans="1:45" ht="15" hidden="1" customHeight="1" thickBot="1" x14ac:dyDescent="0.3">
      <c r="B6" s="135"/>
      <c r="C6" s="39"/>
      <c r="D6" s="39"/>
      <c r="E6" s="39"/>
      <c r="F6" s="39"/>
      <c r="G6" s="39"/>
      <c r="H6" s="39"/>
      <c r="I6" s="40"/>
      <c r="J6" s="48" t="str">
        <f>RTD("cqg.rtd", ,"ContractData",CLE!Q2, "Symbol")</f>
        <v>CLEH5</v>
      </c>
      <c r="K6" s="49" t="str">
        <f>RTD("cqg.rtd", ,"ContractData",CLE!Q3, "Symbol")</f>
        <v>CLEJ5</v>
      </c>
      <c r="L6" s="49" t="str">
        <f>RTD("cqg.rtd", ,"ContractData",CLE!Q4, "Symbol")</f>
        <v>CLEK5</v>
      </c>
      <c r="M6" s="49" t="str">
        <f>RTD("cqg.rtd", ,"ContractData",CLE!Q5, "Symbol")</f>
        <v>CLEM5</v>
      </c>
      <c r="N6" s="50" t="str">
        <f>RTD("cqg.rtd", ,"ContractData",CLE!Q6, "Symbol")</f>
        <v>CLEN5</v>
      </c>
      <c r="O6" s="50" t="str">
        <f>RTD("cqg.rtd", ,"ContractData",CLE!Q7, "Symbol")</f>
        <v>CLEQ5</v>
      </c>
      <c r="P6" s="51" t="str">
        <f>RTD("cqg.rtd", ,"ContractData",CLE!Q8, "Symbol")</f>
        <v>CLEU5</v>
      </c>
      <c r="Q6" s="52" t="str">
        <f>RTD("cqg.rtd", ,"ContractData",CLE!Q9, "Symbol")</f>
        <v>CLEV5</v>
      </c>
      <c r="R6" s="52" t="str">
        <f>RTD("cqg.rtd", ,"ContractData",CLE!Q10, "Symbol")</f>
        <v>CLEX5</v>
      </c>
      <c r="S6" s="52" t="str">
        <f>RTD("cqg.rtd", ,"ContractData",CLE!Q11, "Symbol")</f>
        <v>CLEZ5</v>
      </c>
      <c r="T6" s="52" t="str">
        <f>RTD("cqg.rtd", ,"ContractData",CLE!Q12, "Symbol")</f>
        <v>CLEF6</v>
      </c>
      <c r="U6" s="136" t="str">
        <f>RTD("cqg.rtd", ,"ContractData",CLE!Q13, "Symbol")</f>
        <v>CLEG6</v>
      </c>
      <c r="V6" s="101"/>
      <c r="W6" s="101"/>
      <c r="Y6" s="11" t="str">
        <f>LEFT(RIGHT(E7,2),1)</f>
        <v/>
      </c>
      <c r="AA6" s="11" t="str">
        <f>LEFT(RIGHT(G7,2),1)</f>
        <v/>
      </c>
      <c r="AB6" s="11" t="str">
        <f>LEFT(RIGHT(H7,2),1)</f>
        <v/>
      </c>
      <c r="AC6" s="11" t="str">
        <f>LEFT(RIGHT(I7,2),1)</f>
        <v/>
      </c>
      <c r="AD6" s="11" t="str">
        <f t="shared" ref="AD6:AQ6" si="0">LEFT(RIGHT(J6,2),1)</f>
        <v>H</v>
      </c>
      <c r="AE6" s="11" t="str">
        <f t="shared" si="0"/>
        <v>J</v>
      </c>
      <c r="AF6" s="11" t="str">
        <f t="shared" si="0"/>
        <v>K</v>
      </c>
      <c r="AG6" s="11" t="str">
        <f t="shared" si="0"/>
        <v>M</v>
      </c>
      <c r="AH6" s="11" t="str">
        <f t="shared" si="0"/>
        <v>N</v>
      </c>
      <c r="AI6" s="11" t="str">
        <f t="shared" si="0"/>
        <v>Q</v>
      </c>
      <c r="AJ6" s="11" t="str">
        <f t="shared" si="0"/>
        <v>U</v>
      </c>
      <c r="AK6" s="11" t="str">
        <f t="shared" si="0"/>
        <v>V</v>
      </c>
      <c r="AL6" s="11" t="str">
        <f t="shared" si="0"/>
        <v>X</v>
      </c>
      <c r="AM6" s="11" t="str">
        <f t="shared" si="0"/>
        <v>Z</v>
      </c>
      <c r="AN6" s="11" t="str">
        <f t="shared" si="0"/>
        <v>F</v>
      </c>
      <c r="AO6" s="11" t="str">
        <f t="shared" si="0"/>
        <v>G</v>
      </c>
      <c r="AP6" s="11" t="str">
        <f t="shared" si="0"/>
        <v/>
      </c>
      <c r="AQ6" s="11" t="str">
        <f t="shared" si="0"/>
        <v/>
      </c>
      <c r="AR6" s="11"/>
      <c r="AS6" s="11"/>
    </row>
    <row r="7" spans="1:45" ht="15" customHeight="1" x14ac:dyDescent="0.25">
      <c r="B7" s="197" t="s">
        <v>1</v>
      </c>
      <c r="C7" s="199">
        <f>RTD("cqg.rtd", ,"ContractData",J6, "MT_LastAskVolume")</f>
        <v>2</v>
      </c>
      <c r="D7" s="163">
        <f>RTD("cqg.rtd", ,"ContractData",J6, "Ask",,"T")</f>
        <v>48.78</v>
      </c>
      <c r="E7" s="164"/>
      <c r="F7" s="167" t="s">
        <v>17</v>
      </c>
      <c r="G7" s="168"/>
      <c r="H7" s="168"/>
      <c r="I7" s="168"/>
      <c r="J7" s="36" t="str">
        <f t="shared" ref="J7:P7" si="1">IF(AD6="F","JAN",IF(AD6="G","FEB",IF(AD6="H","MAR",IF(AD6="J","APR",IF(AD6="K","MAY",IF(AD6="M","JUN",IF(AD6="N","JUL",IF(AD6="Q","AUG",IF(AD6="U","SEP",IF(AD6="V","OCT",IF(AD6="X","NOV",IF(AD6="Z","DEC",))))))))))))</f>
        <v>MAR</v>
      </c>
      <c r="K7" s="36" t="str">
        <f t="shared" si="1"/>
        <v>APR</v>
      </c>
      <c r="L7" s="36" t="str">
        <f t="shared" si="1"/>
        <v>MAY</v>
      </c>
      <c r="M7" s="36" t="str">
        <f t="shared" si="1"/>
        <v>JUN</v>
      </c>
      <c r="N7" s="36" t="str">
        <f t="shared" si="1"/>
        <v>JUL</v>
      </c>
      <c r="O7" s="36" t="str">
        <f t="shared" si="1"/>
        <v>AUG</v>
      </c>
      <c r="P7" s="36" t="str">
        <f t="shared" si="1"/>
        <v>SEP</v>
      </c>
      <c r="Q7" s="36" t="str">
        <f>IF(AK6="F","JAN",IF(AK6="G","FEB",IF(AK6="H","MAR",IF(AK6="J","APR",IF(AK6="K","MAY",IF(AK6="M","JUN",IF(AK6="N","JUL",IF(AK6="Q","AUG",IF(AK6="U","SEP",IF(AK6="V","OCT",IF(AK6="X","NOV",IF(AK6="Z","DEC",))))))))))))</f>
        <v>OCT</v>
      </c>
      <c r="R7" s="36" t="str">
        <f t="shared" ref="R7:U7" si="2">IF(AL6="F","JAN",IF(AL6="G","FEB",IF(AL6="H","MAR",IF(AL6="J","APR",IF(AL6="K","MAY",IF(AL6="M","JUN",IF(AL6="N","JUL",IF(AL6="Q","AUG",IF(AL6="U","SEP",IF(AL6="V","OCT",IF(AL6="X","NOV",IF(AL6="Z","DEC",))))))))))))</f>
        <v>NOV</v>
      </c>
      <c r="S7" s="36" t="str">
        <f t="shared" si="2"/>
        <v>DEC</v>
      </c>
      <c r="T7" s="36" t="str">
        <f t="shared" si="2"/>
        <v>JAN</v>
      </c>
      <c r="U7" s="137" t="str">
        <f t="shared" si="2"/>
        <v>FEB</v>
      </c>
      <c r="V7" s="102"/>
      <c r="W7" s="102"/>
    </row>
    <row r="8" spans="1:45" ht="15" customHeight="1" x14ac:dyDescent="0.25">
      <c r="B8" s="198"/>
      <c r="C8" s="200"/>
      <c r="D8" s="165"/>
      <c r="E8" s="166"/>
      <c r="F8" s="167"/>
      <c r="G8" s="168"/>
      <c r="H8" s="168"/>
      <c r="I8" s="168"/>
      <c r="J8" s="16" t="str">
        <f>TEXT(RTD("cqg.rtd",,"ContractData",J6,"Ask",,"T"),"#.00")&amp;" "&amp;"A"</f>
        <v>48.78 A</v>
      </c>
      <c r="K8" s="16" t="str">
        <f>TEXT(RTD("cqg.rtd",,"ContractData",K6,"Ask",,"T"),"#.00")&amp;" "&amp;"A"</f>
        <v>49.42 A</v>
      </c>
      <c r="L8" s="16" t="str">
        <f>TEXT(RTD("cqg.rtd",,"ContractData",L6,"Ask",,"T"),"#.00")&amp;" "&amp;"A"</f>
        <v>50.17 A</v>
      </c>
      <c r="M8" s="16" t="str">
        <f>TEXT(RTD("cqg.rtd",,"ContractData",M6,"Ask",,"T"),"#.00")&amp;" "&amp;"A"</f>
        <v>50.91 A</v>
      </c>
      <c r="N8" s="16" t="str">
        <f>TEXT(RTD("cqg.rtd",,"ContractData",N6,"Ask",,"T"),"#.00")&amp;" "&amp;"A"</f>
        <v>51.62 A</v>
      </c>
      <c r="O8" s="16" t="str">
        <f>TEXT(RTD("cqg.rtd",,"ContractData",O6,"Ask",,"T"),"#.00")&amp;" "&amp;"A"</f>
        <v>52.27 A</v>
      </c>
      <c r="P8" s="16" t="str">
        <f>TEXT(RTD("cqg.rtd",,"ContractData",P6,"Ask",,"T"),"#.00")&amp;" "&amp;"A"</f>
        <v>52.92 A</v>
      </c>
      <c r="Q8" s="16" t="str">
        <f>TEXT(RTD("cqg.rtd",,"ContractData",Q6,"Ask",,"T"),"#.00")&amp;" "&amp;"A"</f>
        <v>53.63 A</v>
      </c>
      <c r="R8" s="16" t="str">
        <f>TEXT(RTD("cqg.rtd",,"ContractData",R6,"Ask",,"T"),"#.00")&amp;" "&amp;"A"</f>
        <v>54.22 A</v>
      </c>
      <c r="S8" s="16" t="str">
        <f>TEXT(RTD("cqg.rtd",,"ContractData",S6,"Ask",,"T"),"#.00")&amp;" "&amp;"A"</f>
        <v>54.65 A</v>
      </c>
      <c r="T8" s="16" t="str">
        <f>TEXT(RTD("cqg.rtd",,"ContractData",T6,"Ask",,"T"),"#.00")&amp;" "&amp;"A"</f>
        <v>55.30 A</v>
      </c>
      <c r="U8" s="138" t="str">
        <f>TEXT(RTD("cqg.rtd",,"ContractData",U6,"Ask",,"T"),"#.00")&amp;" "&amp;"A"</f>
        <v xml:space="preserve"> A</v>
      </c>
      <c r="V8" s="101"/>
      <c r="W8" s="101"/>
    </row>
    <row r="9" spans="1:45" ht="15" customHeight="1" x14ac:dyDescent="0.25">
      <c r="B9" s="161" t="s">
        <v>0</v>
      </c>
      <c r="C9" s="187">
        <f>RTD("cqg.rtd", ,"ContractData",J6, "MT_LastBidVolume")</f>
        <v>2</v>
      </c>
      <c r="D9" s="189">
        <f>RTD("cqg.rtd", ,"ContractData",J6, "Bid",,"T")</f>
        <v>48.76</v>
      </c>
      <c r="E9" s="189"/>
      <c r="F9" s="191">
        <f>RTD("cqg.rtd", ,"ContractData",J6,"LastTradeorSettle",,"T")</f>
        <v>48.76</v>
      </c>
      <c r="G9" s="192"/>
      <c r="H9" s="195" t="str">
        <f>IF(G13&gt;0,"+"&amp;TEXT(RTD("cqg.rtd",,"ContractData",J6,"NetLastTradeToday",,"T"),"#.00"),TEXT(G13,"#.00"))</f>
        <v>+2.03</v>
      </c>
      <c r="I9" s="195"/>
      <c r="J9" s="16" t="str">
        <f>TEXT(RTD("cqg.rtd",,"ContractData",J6,"Bid",,"T"),"#.00")&amp;" "&amp;"B"</f>
        <v>48.76 B</v>
      </c>
      <c r="K9" s="16" t="str">
        <f>TEXT(RTD("cqg.rtd",,"ContractData",K6,"Bid",,"T"),"#.00")&amp;" "&amp;"B"</f>
        <v>49.39 B</v>
      </c>
      <c r="L9" s="16" t="str">
        <f>TEXT(RTD("cqg.rtd",,"ContractData",L6,"Bid",,"T"),"#.00")&amp;" "&amp;"B"</f>
        <v>50.13 B</v>
      </c>
      <c r="M9" s="16" t="str">
        <f>TEXT(RTD("cqg.rtd",,"ContractData",M6,"Bid",,"T"),"#.00")&amp;" "&amp;"B"</f>
        <v>50.88 B</v>
      </c>
      <c r="N9" s="16" t="str">
        <f>TEXT(RTD("cqg.rtd",,"ContractData",N6,"Bid",,"T"),"#.00")&amp;" "&amp;"B"</f>
        <v>51.58 B</v>
      </c>
      <c r="O9" s="16" t="str">
        <f>TEXT(RTD("cqg.rtd",,"ContractData",O6,"Bid",,"T"),"#.00")&amp;" "&amp;"B"</f>
        <v>52.22 B</v>
      </c>
      <c r="P9" s="16" t="str">
        <f>TEXT(RTD("cqg.rtd",,"ContractData",P6,"Bid",,"T"),"#.00")&amp;" "&amp;"B"</f>
        <v>52.86 B</v>
      </c>
      <c r="Q9" s="16" t="str">
        <f>TEXT(RTD("cqg.rtd",,"ContractData",Q6,"Bid",,"T"),"#.00")&amp;" "&amp;"B"</f>
        <v>53.44 B</v>
      </c>
      <c r="R9" s="16" t="str">
        <f>TEXT(RTD("cqg.rtd",,"ContractData",R6,"Bid",,"T"),"#.00")&amp;" "&amp;"B"</f>
        <v>54.02 B</v>
      </c>
      <c r="S9" s="16" t="str">
        <f>TEXT(RTD("cqg.rtd",,"ContractData",S6,"Bid",,"T"),"#.00")&amp;" "&amp;"B"</f>
        <v>54.59 B</v>
      </c>
      <c r="T9" s="16" t="str">
        <f>TEXT(RTD("cqg.rtd",,"ContractData",T6,"Bid",,"T"),"#.00")&amp;" "&amp;"B"</f>
        <v>55.03 B</v>
      </c>
      <c r="U9" s="138" t="str">
        <f>TEXT(RTD("cqg.rtd",,"ContractData",U6,"Bid",,"T"),"#.00")&amp;" "&amp;"B"</f>
        <v>48.00 B</v>
      </c>
      <c r="V9" s="101"/>
      <c r="W9" s="101"/>
    </row>
    <row r="10" spans="1:45" ht="15" customHeight="1" thickBot="1" x14ac:dyDescent="0.3">
      <c r="B10" s="162"/>
      <c r="C10" s="188"/>
      <c r="D10" s="190"/>
      <c r="E10" s="190"/>
      <c r="F10" s="193"/>
      <c r="G10" s="194"/>
      <c r="H10" s="196"/>
      <c r="I10" s="196"/>
      <c r="J10" s="16" t="str">
        <f>TEXT(RTD("cqg.rtd", ,"ContractData",J6,"LastTradeorSettle",,"T"),"#.00")&amp;" "&amp;"L"</f>
        <v>48.76 L</v>
      </c>
      <c r="K10" s="16" t="str">
        <f>TEXT(RTD("cqg.rtd", ,"ContractData",K6,"LastTradeorSettle",,"T"),"#.00")&amp;" "&amp;"L"</f>
        <v>49.44 L</v>
      </c>
      <c r="L10" s="16" t="str">
        <f>TEXT(RTD("cqg.rtd", ,"ContractData",L6,"LastTradeorSettle",,"T"),"#.00")&amp;" "&amp;"L"</f>
        <v>50.22 L</v>
      </c>
      <c r="M10" s="16" t="str">
        <f>TEXT(RTD("cqg.rtd", ,"ContractData",M6,"LastTradeorSettle",,"T"),"#.00")&amp;" "&amp;"L"</f>
        <v>50.89 L</v>
      </c>
      <c r="N10" s="16" t="str">
        <f>TEXT(RTD("cqg.rtd", ,"ContractData",N6,"LastTradeorSettle",,"T"),"#.00")&amp;" "&amp;"L"</f>
        <v>51.71 L</v>
      </c>
      <c r="O10" s="16" t="str">
        <f>TEXT(RTD("cqg.rtd", ,"ContractData",O6,"LastTradeorSettle",,"T"),"#.00")&amp;" "&amp;"L"</f>
        <v>52.40 L</v>
      </c>
      <c r="P10" s="16" t="str">
        <f>TEXT(RTD("cqg.rtd", ,"ContractData",P6,"LastTradeorSettle",,"T"),"#.00")&amp;" "&amp;"L"</f>
        <v>53.13 L</v>
      </c>
      <c r="Q10" s="16" t="str">
        <f>TEXT(RTD("cqg.rtd", ,"ContractData",Q6,"LastTradeorSettle",,"T"),"#.00")&amp;" "&amp;"L"</f>
        <v>53.69 L</v>
      </c>
      <c r="R10" s="16" t="str">
        <f>TEXT(RTD("cqg.rtd", ,"ContractData",R6,"LastTradeorSettle",,"T"),"#.00")&amp;" "&amp;"L"</f>
        <v>53.90 L</v>
      </c>
      <c r="S10" s="16" t="str">
        <f>TEXT(RTD("cqg.rtd", ,"ContractData",S6,"LastTradeorSettle",,"T"),"#.00")&amp;" "&amp;"L"</f>
        <v>54.60 L</v>
      </c>
      <c r="T10" s="16" t="str">
        <f>TEXT(RTD("cqg.rtd", ,"ContractData",T6,"LastTradeorSettle",,"T"),"#.00")&amp;" "&amp;"L"</f>
        <v>54.51 L</v>
      </c>
      <c r="U10" s="138" t="str">
        <f>TEXT(RTD("cqg.rtd", ,"ContractData",U6,"LastTradeorSettle",,"T"),"#.00")&amp;" "&amp;"L"</f>
        <v>55.20 L</v>
      </c>
      <c r="V10" s="101"/>
      <c r="W10" s="101"/>
    </row>
    <row r="11" spans="1:45" ht="15" hidden="1" customHeight="1" x14ac:dyDescent="0.25">
      <c r="B11" s="12"/>
      <c r="C11" s="13"/>
      <c r="D11" s="14"/>
      <c r="E11" s="14"/>
      <c r="F11" s="15"/>
      <c r="G11" s="15"/>
      <c r="H11" s="15"/>
      <c r="I11" s="15"/>
      <c r="J11" s="17"/>
      <c r="K11" s="18" t="str">
        <f>RTD("cqg.rtd", ,"ContractData",CLE!D2, "Symbol")</f>
        <v>CLES1H5</v>
      </c>
      <c r="L11" s="18" t="str">
        <f>RTD("cqg.rtd", ,"ContractData",CLE!E2, "Symbol")</f>
        <v>CLES1J5</v>
      </c>
      <c r="M11" s="18" t="str">
        <f>RTD("cqg.rtd", ,"ContractData",CLE!F2, "Symbol")</f>
        <v>CLES1K5</v>
      </c>
      <c r="N11" s="18" t="str">
        <f>RTD("cqg.rtd", ,"ContractData",CLE!G2, "Symbol")</f>
        <v>CLES1M5</v>
      </c>
      <c r="O11" s="18" t="str">
        <f>RTD("cqg.rtd", ,"ContractData",CLE!H2, "Symbol")</f>
        <v>CLES1N5</v>
      </c>
      <c r="P11" s="18" t="str">
        <f>RTD("cqg.rtd", ,"ContractData",CLE!I2, "Symbol")</f>
        <v>CLES1Q5</v>
      </c>
      <c r="Q11" s="18" t="str">
        <f>RTD("cqg.rtd", ,"ContractData",CLE!J2, "Symbol")</f>
        <v>CLES1U5</v>
      </c>
      <c r="R11" s="18" t="str">
        <f>RTD("cqg.rtd", ,"ContractData",CLE!K2, "Symbol")</f>
        <v>CLES1V5</v>
      </c>
      <c r="S11" s="18" t="str">
        <f>RTD("cqg.rtd", ,"ContractData",CLE!L2, "Symbol")</f>
        <v>CLES1X5</v>
      </c>
      <c r="T11" s="18" t="str">
        <f>RTD("cqg.rtd", ,"ContractData",CLE!M2, "Symbol")</f>
        <v>CLES1Z5</v>
      </c>
      <c r="U11" s="18" t="str">
        <f>RTD("cqg.rtd", ,"ContractData",CLE!N2, "Symbol")</f>
        <v>CLES1F6</v>
      </c>
      <c r="V11" s="103"/>
      <c r="W11" s="104"/>
    </row>
    <row r="12" spans="1:45" ht="15" customHeight="1" x14ac:dyDescent="0.25">
      <c r="B12" s="19" t="s">
        <v>11</v>
      </c>
      <c r="C12" s="20" t="s">
        <v>12</v>
      </c>
      <c r="D12" s="20" t="s">
        <v>13</v>
      </c>
      <c r="E12" s="20" t="s">
        <v>14</v>
      </c>
      <c r="F12" s="20" t="s">
        <v>10</v>
      </c>
      <c r="G12" s="20" t="s">
        <v>15</v>
      </c>
      <c r="H12" s="20" t="s">
        <v>15</v>
      </c>
      <c r="I12" s="21" t="s">
        <v>16</v>
      </c>
      <c r="J12" s="86" t="s">
        <v>8</v>
      </c>
      <c r="K12" s="87" t="str">
        <f>$J$7&amp;", "&amp;K7</f>
        <v>MAR, APR</v>
      </c>
      <c r="L12" s="87" t="str">
        <f>$K$7&amp;", "&amp;L7</f>
        <v>APR, MAY</v>
      </c>
      <c r="M12" s="87" t="str">
        <f>$L$7&amp;", "&amp;M7</f>
        <v>MAY, JUN</v>
      </c>
      <c r="N12" s="87" t="str">
        <f>$M$7&amp;", "&amp;N7</f>
        <v>JUN, JUL</v>
      </c>
      <c r="O12" s="87" t="str">
        <f>$N$7&amp;", "&amp;O7</f>
        <v>JUL, AUG</v>
      </c>
      <c r="P12" s="87" t="str">
        <f>$O$7&amp;", "&amp;P7</f>
        <v>AUG, SEP</v>
      </c>
      <c r="Q12" s="87" t="str">
        <f>$P$7&amp;", "&amp;Q7</f>
        <v>SEP, OCT</v>
      </c>
      <c r="R12" s="87" t="str">
        <f>$Q$7&amp;", "&amp;R7</f>
        <v>OCT, NOV</v>
      </c>
      <c r="S12" s="87" t="str">
        <f>$R$7&amp;", "&amp;S7</f>
        <v>NOV, DEC</v>
      </c>
      <c r="T12" s="87" t="str">
        <f>$S$7&amp;", "&amp;T7</f>
        <v>DEC, JAN</v>
      </c>
      <c r="U12" s="89" t="str">
        <f>$T$7&amp;", "&amp;U7</f>
        <v>JAN, FEB</v>
      </c>
      <c r="V12" s="101"/>
      <c r="W12" s="105"/>
      <c r="AH12" s="10"/>
    </row>
    <row r="13" spans="1:45" ht="15" customHeight="1" x14ac:dyDescent="0.25">
      <c r="A13" s="27" t="str">
        <f>RTD("cqg.rtd",,"ContractData","CLE?1", "Symbol")</f>
        <v>CLEG5</v>
      </c>
      <c r="B13" s="33" t="str">
        <f>RIGHT(RTD("cqg.rtd",,"ContractData",A13, "LongDescription"),7)</f>
        <v xml:space="preserve"> Feb 15</v>
      </c>
      <c r="C13" s="34">
        <f>RTD("cqg.rtd", ,"ContractData",A13, "Open",,"T")</f>
        <v>46.35</v>
      </c>
      <c r="D13" s="34">
        <f>RTD("cqg.rtd", ,"ContractData",A13, "High",,"T")</f>
        <v>48.870000000000005</v>
      </c>
      <c r="E13" s="34">
        <f>RTD("cqg.rtd", ,"ContractData",A13, "Low",,"T")</f>
        <v>45.95</v>
      </c>
      <c r="F13" s="34">
        <f>RTD("cqg.rtd", ,"ContractData",A13, "LastTradeorSettle",,"T")</f>
        <v>48.35</v>
      </c>
      <c r="G13" s="41">
        <f>RTD("cqg.rtd",,"ContractData",A13,"NetLastTradeToday",,"T")</f>
        <v>2.1000000000000014</v>
      </c>
      <c r="H13" s="22">
        <f>RTD("cqg.rtd",,"ContractData",A13,"NetLastTradeToday",,"T")</f>
        <v>2.1000000000000014</v>
      </c>
      <c r="I13" s="30">
        <f>RTD("cqg.rtd", ,"ContractData",A13, "T_CVol")</f>
        <v>141342</v>
      </c>
      <c r="J13" s="183"/>
      <c r="K13" s="88" t="str">
        <f>TEXT(RTD("cqg.rtd",,"ContractData",K11,"Ask",,"T"),"#.00")&amp;" "&amp;"A"</f>
        <v>-.63 A</v>
      </c>
      <c r="L13" s="88" t="str">
        <f>TEXT(RTD("cqg.rtd",,"ContractData",L11,"Ask",,"T"),"#.00")&amp;" "&amp;"A"</f>
        <v>-.74 A</v>
      </c>
      <c r="M13" s="88" t="str">
        <f>TEXT(RTD("cqg.rtd",,"ContractData",M11,"Ask",,"T"),"#.00")&amp;" "&amp;"A"</f>
        <v>-.73 A</v>
      </c>
      <c r="N13" s="88" t="str">
        <f>TEXT(RTD("cqg.rtd",,"ContractData",N11,"Ask",,"T"),"#.00")&amp;" "&amp;"A"</f>
        <v>-.70 A</v>
      </c>
      <c r="O13" s="88" t="str">
        <f>TEXT(RTD("cqg.rtd",,"ContractData",O11,"Ask",,"T"),"#.00")&amp;" "&amp;"A"</f>
        <v>-.65 A</v>
      </c>
      <c r="P13" s="88" t="str">
        <f>TEXT(RTD("cqg.rtd",,"ContractData",P11,"Ask",,"T"),"#.00")&amp;" "&amp;"A"</f>
        <v>-.63 A</v>
      </c>
      <c r="Q13" s="88" t="str">
        <f>TEXT(RTD("cqg.rtd",,"ContractData",Q11,"Ask",,"T"),"#.00")&amp;" "&amp;"A"</f>
        <v>-.57 A</v>
      </c>
      <c r="R13" s="88" t="str">
        <f>TEXT(RTD("cqg.rtd",,"ContractData",R11,"Ask",,"T"),"#.00")&amp;" "&amp;"A"</f>
        <v>-.56 A</v>
      </c>
      <c r="S13" s="88" t="str">
        <f>TEXT(RTD("cqg.rtd",,"ContractData",S11,"Ask",,"T"),"#.00")&amp;" "&amp;"A"</f>
        <v>-.55 A</v>
      </c>
      <c r="T13" s="88" t="str">
        <f>TEXT(RTD("cqg.rtd",,"ContractData",T11,"Ask",,"T"),"#.00")&amp;" "&amp;"A"</f>
        <v>-.44 A</v>
      </c>
      <c r="U13" s="90" t="str">
        <f>TEXT(RTD("cqg.rtd",,"ContractData",U11,"Ask",,"T"),"#.00")&amp;" "&amp;"A"</f>
        <v>-.44 A</v>
      </c>
      <c r="V13" s="101"/>
      <c r="W13" s="101"/>
      <c r="X13" s="11" t="s">
        <v>7</v>
      </c>
      <c r="Y13" s="11" t="s">
        <v>7</v>
      </c>
    </row>
    <row r="14" spans="1:45" ht="15" customHeight="1" x14ac:dyDescent="0.25">
      <c r="A14" s="27" t="str">
        <f>RTD("cqg.rtd",,"ContractData","CLE?2", "Symbol")</f>
        <v>CLEH5</v>
      </c>
      <c r="B14" s="33" t="str">
        <f>RIGHT(RTD("cqg.rtd",,"ContractData",A14, "LongDescription"),7)</f>
        <v xml:space="preserve"> Mar 15</v>
      </c>
      <c r="C14" s="34">
        <f>RTD("cqg.rtd", ,"ContractData",A14, "Open",,"T")</f>
        <v>46.730000000000004</v>
      </c>
      <c r="D14" s="34">
        <f>RTD("cqg.rtd", ,"ContractData",A14, "High",,"T")</f>
        <v>49.34</v>
      </c>
      <c r="E14" s="34">
        <f>RTD("cqg.rtd", ,"ContractData",A14, "Low",,"T")</f>
        <v>46.4</v>
      </c>
      <c r="F14" s="34">
        <f>RTD("cqg.rtd", ,"ContractData",A14, "LastTradeorSettle",,"T")</f>
        <v>48.76</v>
      </c>
      <c r="G14" s="41">
        <f>RTD("cqg.rtd",,"ContractData",A14,"NetLastTradeToday",,"T")</f>
        <v>2.029999999999994</v>
      </c>
      <c r="H14" s="22">
        <f>RTD("cqg.rtd",,"ContractData",A14,"NetLastTradeToday",,"T")</f>
        <v>2.029999999999994</v>
      </c>
      <c r="I14" s="30">
        <f>RTD("cqg.rtd", ,"ContractData",A14, "T_CVol")</f>
        <v>378067</v>
      </c>
      <c r="J14" s="183"/>
      <c r="K14" s="88" t="str">
        <f>TEXT(RTD("cqg.rtd", ,"ContractData",K11,"Bid",,"T"),"#.00")&amp;" "&amp;"B"</f>
        <v>-.64 B</v>
      </c>
      <c r="L14" s="88" t="str">
        <f>TEXT(RTD("cqg.rtd", ,"ContractData",L11,"Bid",,"T"),"#.00")&amp;" "&amp;"B"</f>
        <v>-.75 B</v>
      </c>
      <c r="M14" s="88" t="str">
        <f>TEXT(RTD("cqg.rtd", ,"ContractData",M11,"Bid",,"T"),"#.00")&amp;" "&amp;"B"</f>
        <v>-.75 B</v>
      </c>
      <c r="N14" s="88" t="str">
        <f>TEXT(RTD("cqg.rtd", ,"ContractData",N11,"Bid",,"T"),"#.00")&amp;" "&amp;"B"</f>
        <v>-.71 B</v>
      </c>
      <c r="O14" s="88" t="str">
        <f>TEXT(RTD("cqg.rtd", ,"ContractData",O11,"Bid",,"T"),"#.00")&amp;" "&amp;"B"</f>
        <v>-.66 B</v>
      </c>
      <c r="P14" s="88" t="str">
        <f>TEXT(RTD("cqg.rtd", ,"ContractData",P11,"Bid",,"T"),"#.00")&amp;" "&amp;"B"</f>
        <v>-.64 B</v>
      </c>
      <c r="Q14" s="88" t="str">
        <f>TEXT(RTD("cqg.rtd", ,"ContractData",Q11,"Bid",,"T"),"#.00")&amp;" "&amp;"B"</f>
        <v>-.59 B</v>
      </c>
      <c r="R14" s="88" t="str">
        <f>TEXT(RTD("cqg.rtd", ,"ContractData",R11,"Bid",,"T"),"#.00")&amp;" "&amp;"B"</f>
        <v>-.58 B</v>
      </c>
      <c r="S14" s="88" t="str">
        <f>TEXT(RTD("cqg.rtd", ,"ContractData",S11,"Bid",,"T"),"#.00")&amp;" "&amp;"B"</f>
        <v>-.57 B</v>
      </c>
      <c r="T14" s="88" t="str">
        <f>TEXT(RTD("cqg.rtd", ,"ContractData",T11,"Bid",,"T"),"#.00")&amp;" "&amp;"B"</f>
        <v>-.45 B</v>
      </c>
      <c r="U14" s="90" t="str">
        <f>TEXT(RTD("cqg.rtd", ,"ContractData",U11,"Bid",,"T"),"#.00")&amp;" "&amp;"B"</f>
        <v>-.45 B</v>
      </c>
      <c r="V14" s="101"/>
      <c r="W14" s="101"/>
    </row>
    <row r="15" spans="1:45" ht="15" customHeight="1" x14ac:dyDescent="0.25">
      <c r="A15" s="27" t="str">
        <f>RTD("cqg.rtd",,"ContractData","CLE?3", "Symbol")</f>
        <v>CLEJ5</v>
      </c>
      <c r="B15" s="33" t="str">
        <f>RIGHT(RTD("cqg.rtd",,"ContractData",A15, "LongDescription"),7)</f>
        <v xml:space="preserve"> Apr 15</v>
      </c>
      <c r="C15" s="34">
        <f>RTD("cqg.rtd", ,"ContractData",A15, "Open",,"T")</f>
        <v>47.52</v>
      </c>
      <c r="D15" s="34">
        <f>RTD("cqg.rtd", ,"ContractData",A15, "High",,"T")</f>
        <v>50.03</v>
      </c>
      <c r="E15" s="34">
        <f>RTD("cqg.rtd", ,"ContractData",A15, "Low",,"T")</f>
        <v>47.17</v>
      </c>
      <c r="F15" s="34">
        <f>RTD("cqg.rtd", ,"ContractData",A15, "LastTradeorSettle",,"T")</f>
        <v>49.44</v>
      </c>
      <c r="G15" s="41">
        <f>RTD("cqg.rtd",,"ContractData",A15,"NetLastTradeToday",,"T")</f>
        <v>1.9699999999999989</v>
      </c>
      <c r="H15" s="22">
        <f>RTD("cqg.rtd",,"ContractData",A15,"NetLastTradeToday",,"T")</f>
        <v>1.9699999999999989</v>
      </c>
      <c r="I15" s="30">
        <f>RTD("cqg.rtd", ,"ContractData",A15, "T_CVol")</f>
        <v>61137</v>
      </c>
      <c r="J15" s="183"/>
      <c r="K15" s="88" t="str">
        <f>TEXT(RTD("cqg.rtd", ,"ContractData",K11,"LastTradeorSettle",,"T"),"#.00")&amp;" "&amp;"L"</f>
        <v>-.63 L</v>
      </c>
      <c r="L15" s="88" t="str">
        <f>TEXT(RTD("cqg.rtd", ,"ContractData",L11,"LastTradeorSettle",,"T"),"#.00")&amp;" "&amp;"L"</f>
        <v>-.74 L</v>
      </c>
      <c r="M15" s="88" t="str">
        <f>TEXT(RTD("cqg.rtd", ,"ContractData",M11,"LastTradeorSettle",,"T"),"#.00")&amp;" "&amp;"L"</f>
        <v>-.74 L</v>
      </c>
      <c r="N15" s="88" t="str">
        <f>TEXT(RTD("cqg.rtd", ,"ContractData",N11,"LastTradeorSettle",,"T"),"#.00")&amp;" "&amp;"L"</f>
        <v>-.70 L</v>
      </c>
      <c r="O15" s="88" t="str">
        <f>TEXT(RTD("cqg.rtd", ,"ContractData",O11,"LastTradeorSettle",,"T"),"#.00")&amp;" "&amp;"L"</f>
        <v>-.65 L</v>
      </c>
      <c r="P15" s="88" t="str">
        <f>TEXT(RTD("cqg.rtd", ,"ContractData",P11,"LastTradeorSettle",,"T"),"#.00")&amp;" "&amp;"L"</f>
        <v>-.65 L</v>
      </c>
      <c r="Q15" s="88" t="str">
        <f>TEXT(RTD("cqg.rtd", ,"ContractData",Q11,"LastTradeorSettle",,"T"),"#.00")&amp;" "&amp;"L"</f>
        <v>-.59 L</v>
      </c>
      <c r="R15" s="88" t="str">
        <f>TEXT(RTD("cqg.rtd", ,"ContractData",R11,"LastTradeorSettle",,"T"),"#.00")&amp;" "&amp;"L"</f>
        <v>-.58 L</v>
      </c>
      <c r="S15" s="88" t="str">
        <f>TEXT(RTD("cqg.rtd", ,"ContractData",S11,"LastTradeorSettle",,"T"),"#.00")&amp;" "&amp;"L"</f>
        <v>-.57 L</v>
      </c>
      <c r="T15" s="88" t="str">
        <f>TEXT(RTD("cqg.rtd", ,"ContractData",T11,"LastTradeorSettle",,"T"),"#.00")&amp;" "&amp;"L"</f>
        <v>-.45 L</v>
      </c>
      <c r="U15" s="90" t="str">
        <f>TEXT(RTD("cqg.rtd", ,"ContractData",U11,"LastTradeorSettle",,"T"),"#.00")&amp;" "&amp;"L"</f>
        <v>-.45 L</v>
      </c>
      <c r="V15" s="101"/>
      <c r="W15" s="101"/>
    </row>
    <row r="16" spans="1:45" ht="15" customHeight="1" x14ac:dyDescent="0.25">
      <c r="A16" s="27" t="str">
        <f>RTD("cqg.rtd",,"ContractData","CLE?4", "Symbol")</f>
        <v>CLEK5</v>
      </c>
      <c r="B16" s="33" t="str">
        <f>RIGHT(RTD("cqg.rtd",,"ContractData",A16, "LongDescription"),7)</f>
        <v xml:space="preserve"> May 15</v>
      </c>
      <c r="C16" s="34">
        <f>RTD("cqg.rtd", ,"ContractData",A16, "Open",,"T")</f>
        <v>48.120000000000005</v>
      </c>
      <c r="D16" s="34">
        <f>RTD("cqg.rtd", ,"ContractData",A16, "High",,"T")</f>
        <v>50.75</v>
      </c>
      <c r="E16" s="34">
        <f>RTD("cqg.rtd", ,"ContractData",A16, "Low",,"T")</f>
        <v>47.99</v>
      </c>
      <c r="F16" s="34">
        <f>RTD("cqg.rtd", ,"ContractData",A16, "LastTradeorSettle",,"T")</f>
        <v>50.22</v>
      </c>
      <c r="G16" s="41">
        <f>RTD("cqg.rtd",,"ContractData",A16,"NetLastTradeToday",,"T")</f>
        <v>1.9199999999999946</v>
      </c>
      <c r="H16" s="22">
        <f>RTD("cqg.rtd",,"ContractData",A16,"NetLastTradeToday",,"T")</f>
        <v>1.9199999999999946</v>
      </c>
      <c r="I16" s="30">
        <f>RTD("cqg.rtd", ,"ContractData",A16, "T_CVol")</f>
        <v>33795</v>
      </c>
      <c r="J16" s="91"/>
      <c r="K16" s="9"/>
      <c r="L16" s="9"/>
      <c r="M16" s="9"/>
      <c r="N16" s="9"/>
      <c r="O16" s="9"/>
      <c r="P16" s="9"/>
      <c r="Q16" s="9"/>
      <c r="R16" s="9"/>
      <c r="S16" s="9"/>
      <c r="T16" s="9"/>
      <c r="U16" s="92"/>
      <c r="V16" s="53"/>
    </row>
    <row r="17" spans="1:35" ht="15" customHeight="1" x14ac:dyDescent="0.25">
      <c r="A17" s="27" t="str">
        <f>RTD("cqg.rtd",,"ContractData","CLE?5", "Symbol")</f>
        <v>CLEM5</v>
      </c>
      <c r="B17" s="33" t="str">
        <f>RIGHT(RTD("cqg.rtd",,"ContractData",A17, "LongDescription"),7)</f>
        <v xml:space="preserve"> Jun 15</v>
      </c>
      <c r="C17" s="34">
        <f>RTD("cqg.rtd", ,"ContractData",A17, "Open",,"T")</f>
        <v>49.13</v>
      </c>
      <c r="D17" s="34">
        <f>RTD("cqg.rtd", ,"ContractData",A17, "High",,"T")</f>
        <v>51.54</v>
      </c>
      <c r="E17" s="34">
        <f>RTD("cqg.rtd", ,"ContractData",A17, "Low",,"T")</f>
        <v>48.78</v>
      </c>
      <c r="F17" s="34">
        <f>RTD("cqg.rtd", ,"ContractData",A17, "LastTradeorSettle",,"T")</f>
        <v>50.89</v>
      </c>
      <c r="G17" s="41">
        <f>RTD("cqg.rtd",,"ContractData",A17,"NetLastTradeToday",,"T")</f>
        <v>1.7899999999999991</v>
      </c>
      <c r="H17" s="22">
        <f>RTD("cqg.rtd",,"ContractData",A17,"NetLastTradeToday",,"T")</f>
        <v>1.7899999999999991</v>
      </c>
      <c r="I17" s="30">
        <f>RTD("cqg.rtd", ,"ContractData",A17, "T_CVol")</f>
        <v>53944</v>
      </c>
      <c r="J17" s="93"/>
      <c r="K17" s="3"/>
      <c r="L17" s="3"/>
      <c r="M17" s="3"/>
      <c r="N17" s="3"/>
      <c r="O17" s="3"/>
      <c r="P17" s="3"/>
      <c r="Q17" s="3"/>
      <c r="R17" s="3"/>
      <c r="S17" s="3"/>
      <c r="T17" s="3"/>
      <c r="U17" s="94"/>
      <c r="V17" s="53"/>
      <c r="W17" s="11" t="s">
        <v>7</v>
      </c>
    </row>
    <row r="18" spans="1:35" ht="15" customHeight="1" x14ac:dyDescent="0.25">
      <c r="A18" s="27" t="str">
        <f>RTD("cqg.rtd",,"ContractData","CLE?6", "Symbol")</f>
        <v>CLEN5</v>
      </c>
      <c r="B18" s="33" t="str">
        <f>RIGHT(RTD("cqg.rtd",,"ContractData",A18, "LongDescription"),7)</f>
        <v xml:space="preserve"> Jul 15</v>
      </c>
      <c r="C18" s="34">
        <f>RTD("cqg.rtd", ,"ContractData",A18, "Open",,"T")</f>
        <v>49.83</v>
      </c>
      <c r="D18" s="34">
        <f>RTD("cqg.rtd", ,"ContractData",A18, "High",,"T")</f>
        <v>52.21</v>
      </c>
      <c r="E18" s="34">
        <f>RTD("cqg.rtd", ,"ContractData",A18, "Low",,"T")</f>
        <v>49.59</v>
      </c>
      <c r="F18" s="34">
        <f>RTD("cqg.rtd", ,"ContractData",A18, "LastTradeorSettle",,"T")</f>
        <v>51.71</v>
      </c>
      <c r="G18" s="41">
        <f>RTD("cqg.rtd",,"ContractData",A18,"NetLastTradeToday",,"T")</f>
        <v>1.8599999999999994</v>
      </c>
      <c r="H18" s="22">
        <f>RTD("cqg.rtd",,"ContractData",A18,"NetLastTradeToday",,"T")</f>
        <v>1.8599999999999994</v>
      </c>
      <c r="I18" s="30">
        <f>RTD("cqg.rtd", ,"ContractData",A18, "T_CVol")</f>
        <v>12210</v>
      </c>
      <c r="J18" s="93"/>
      <c r="K18" s="3"/>
      <c r="L18" s="3"/>
      <c r="M18" s="3"/>
      <c r="N18" s="3"/>
      <c r="O18" s="3"/>
      <c r="P18" s="3"/>
      <c r="Q18" s="4"/>
      <c r="R18" s="5"/>
      <c r="S18" s="5"/>
      <c r="T18" s="5"/>
      <c r="U18" s="95"/>
      <c r="V18" s="53"/>
    </row>
    <row r="19" spans="1:35" ht="15" customHeight="1" x14ac:dyDescent="0.25">
      <c r="A19" s="27" t="str">
        <f>RTD("cqg.rtd",,"ContractData","CLE?7", "Symbol")</f>
        <v>CLEQ5</v>
      </c>
      <c r="B19" s="33" t="str">
        <f>RIGHT(RTD("cqg.rtd",,"ContractData",A19, "LongDescription"),7)</f>
        <v xml:space="preserve"> Aug 15</v>
      </c>
      <c r="C19" s="34">
        <f>RTD("cqg.rtd", ,"ContractData",A19, "Open",,"T")</f>
        <v>50.300000000000004</v>
      </c>
      <c r="D19" s="34">
        <f>RTD("cqg.rtd", ,"ContractData",A19, "High",,"T")</f>
        <v>52.76</v>
      </c>
      <c r="E19" s="34">
        <f>RTD("cqg.rtd", ,"ContractData",A19, "Low",,"T")</f>
        <v>50.25</v>
      </c>
      <c r="F19" s="34">
        <f>RTD("cqg.rtd", ,"ContractData",A19, "LastTradeorSettle",,"T")</f>
        <v>52.4</v>
      </c>
      <c r="G19" s="41">
        <f>RTD("cqg.rtd",,"ContractData",A19,"NetLastTradeToday",,"T")</f>
        <v>1.8299999999999983</v>
      </c>
      <c r="H19" s="22">
        <f>RTD("cqg.rtd",,"ContractData",A19,"NetLastTradeToday",,"T")</f>
        <v>1.8299999999999983</v>
      </c>
      <c r="I19" s="30">
        <f>RTD("cqg.rtd", ,"ContractData",A19, "T_CVol")</f>
        <v>4749</v>
      </c>
      <c r="J19" s="93"/>
      <c r="K19" s="3"/>
      <c r="L19" s="3"/>
      <c r="M19" s="3"/>
      <c r="N19" s="3"/>
      <c r="O19" s="3"/>
      <c r="P19" s="3"/>
      <c r="Q19" s="4"/>
      <c r="R19" s="5"/>
      <c r="S19" s="5"/>
      <c r="T19" s="5"/>
      <c r="U19" s="95"/>
      <c r="V19" s="53"/>
    </row>
    <row r="20" spans="1:35" ht="15" customHeight="1" x14ac:dyDescent="0.25">
      <c r="A20" s="27" t="str">
        <f>RTD("cqg.rtd",,"ContractData","CLE?8", "Symbol")</f>
        <v>CLEU5</v>
      </c>
      <c r="B20" s="33" t="str">
        <f>RIGHT(RTD("cqg.rtd",,"ContractData",A20, "LongDescription"),7)</f>
        <v xml:space="preserve"> Sep 15</v>
      </c>
      <c r="C20" s="34">
        <f>RTD("cqg.rtd", ,"ContractData",A20, "Open",,"T")</f>
        <v>51.6</v>
      </c>
      <c r="D20" s="34">
        <f>RTD("cqg.rtd", ,"ContractData",A20, "High",,"T")</f>
        <v>53.52</v>
      </c>
      <c r="E20" s="34">
        <f>RTD("cqg.rtd", ,"ContractData",A20, "Low",,"T")</f>
        <v>51.42</v>
      </c>
      <c r="F20" s="34">
        <f>RTD("cqg.rtd", ,"ContractData",A20, "LastTradeorSettle",,"T")</f>
        <v>53.13</v>
      </c>
      <c r="G20" s="41">
        <f>RTD("cqg.rtd",,"ContractData",A20,"NetLastTradeToday",,"T")</f>
        <v>1.8400000000000034</v>
      </c>
      <c r="H20" s="22">
        <f>RTD("cqg.rtd",,"ContractData",A20,"NetLastTradeToday",,"T")</f>
        <v>1.8400000000000034</v>
      </c>
      <c r="I20" s="30">
        <f>RTD("cqg.rtd", ,"ContractData",A20, "T_CVol")</f>
        <v>12804</v>
      </c>
      <c r="J20" s="93"/>
      <c r="K20" s="3"/>
      <c r="L20" s="3"/>
      <c r="M20" s="3"/>
      <c r="N20" s="3"/>
      <c r="O20" s="3"/>
      <c r="P20" s="3"/>
      <c r="Q20" s="6"/>
      <c r="R20" s="5"/>
      <c r="S20" s="5"/>
      <c r="T20" s="5"/>
      <c r="U20" s="95"/>
      <c r="V20" s="53"/>
    </row>
    <row r="21" spans="1:35" ht="15" customHeight="1" x14ac:dyDescent="0.25">
      <c r="A21" s="27" t="str">
        <f>RTD("cqg.rtd",,"ContractData","CLE?9", "Symbol")</f>
        <v>CLEV5</v>
      </c>
      <c r="B21" s="33" t="str">
        <f>RIGHT(RTD("cqg.rtd",,"ContractData",A21, "LongDescription"),7)</f>
        <v xml:space="preserve"> Oct 15</v>
      </c>
      <c r="C21" s="34">
        <f>RTD("cqg.rtd", ,"ContractData",A21, "Open",,"T")</f>
        <v>52.4</v>
      </c>
      <c r="D21" s="34">
        <f>RTD("cqg.rtd", ,"ContractData",A21, "High",,"T")</f>
        <v>53.99</v>
      </c>
      <c r="E21" s="34">
        <f>RTD("cqg.rtd", ,"ContractData",A21, "Low",,"T")</f>
        <v>52.4</v>
      </c>
      <c r="F21" s="34">
        <f>RTD("cqg.rtd", ,"ContractData",A21, "LastTradeorSettle",,"T")</f>
        <v>53.69</v>
      </c>
      <c r="G21" s="41">
        <f>RTD("cqg.rtd",,"ContractData",A21,"NetLastTradeToday",,"T")</f>
        <v>1.7299999999999969</v>
      </c>
      <c r="H21" s="22">
        <f>RTD("cqg.rtd",,"ContractData",A21,"NetLastTradeToday",,"T")</f>
        <v>1.7299999999999969</v>
      </c>
      <c r="I21" s="30">
        <f>RTD("cqg.rtd", ,"ContractData",A21, "T_CVol")</f>
        <v>2130</v>
      </c>
      <c r="J21" s="93"/>
      <c r="K21" s="3"/>
      <c r="L21" s="3"/>
      <c r="M21" s="3"/>
      <c r="N21" s="3"/>
      <c r="O21" s="3"/>
      <c r="P21" s="3"/>
      <c r="Q21" s="4"/>
      <c r="R21" s="5"/>
      <c r="S21" s="5"/>
      <c r="T21" s="5"/>
      <c r="U21" s="95"/>
      <c r="V21" s="53"/>
    </row>
    <row r="22" spans="1:35" s="10" customFormat="1" ht="15" customHeight="1" x14ac:dyDescent="0.25">
      <c r="A22" s="27" t="str">
        <f>RTD("cqg.rtd",,"ContractData","CLE?10", "Symbol")</f>
        <v>CLEX5</v>
      </c>
      <c r="B22" s="33" t="str">
        <f>RIGHT(RTD("cqg.rtd",,"ContractData",A22, "LongDescription"),7)</f>
        <v xml:space="preserve"> Nov 15</v>
      </c>
      <c r="C22" s="34">
        <f>RTD("cqg.rtd", ,"ContractData",A22, "Open",,"T")</f>
        <v>53.300000000000004</v>
      </c>
      <c r="D22" s="34">
        <f>RTD("cqg.rtd", ,"ContractData",A22, "High",,"T")</f>
        <v>54.56</v>
      </c>
      <c r="E22" s="34">
        <f>RTD("cqg.rtd", ,"ContractData",A22, "Low",,"T")</f>
        <v>53.14</v>
      </c>
      <c r="F22" s="34">
        <f>RTD("cqg.rtd", ,"ContractData",A22, "LastTradeorSettle",,"T")</f>
        <v>53.9</v>
      </c>
      <c r="G22" s="41">
        <f>RTD("cqg.rtd",,"ContractData",A22,"NetLastTradeToday",,"T")</f>
        <v>1.279999999999994</v>
      </c>
      <c r="H22" s="22">
        <f>RTD("cqg.rtd",,"ContractData",A22,"NetLastTradeToday",,"T")</f>
        <v>1.279999999999994</v>
      </c>
      <c r="I22" s="30">
        <f>RTD("cqg.rtd", ,"ContractData",A22, "T_CVol")</f>
        <v>1754</v>
      </c>
      <c r="J22" s="93"/>
      <c r="K22" s="3"/>
      <c r="L22" s="3"/>
      <c r="M22" s="3"/>
      <c r="N22" s="3"/>
      <c r="O22" s="3"/>
      <c r="P22" s="3"/>
      <c r="Q22" s="4"/>
      <c r="R22" s="5"/>
      <c r="S22" s="5"/>
      <c r="T22" s="5"/>
      <c r="U22" s="95"/>
      <c r="V22" s="53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5" s="10" customFormat="1" ht="15" customHeight="1" x14ac:dyDescent="0.25">
      <c r="A23" s="27" t="str">
        <f>RTD("cqg.rtd",,"ContractData","CLE?11", "Symbol")</f>
        <v>CLEZ5</v>
      </c>
      <c r="B23" s="33" t="str">
        <f>RIGHT(RTD("cqg.rtd",,"ContractData",A23, "LongDescription"),7)</f>
        <v xml:space="preserve"> Dec 15</v>
      </c>
      <c r="C23" s="34">
        <f>RTD("cqg.rtd", ,"ContractData",A23, "Open",,"T")</f>
        <v>53</v>
      </c>
      <c r="D23" s="34">
        <f>RTD("cqg.rtd", ,"ContractData",A23, "High",,"T")</f>
        <v>55.27</v>
      </c>
      <c r="E23" s="34">
        <f>RTD("cqg.rtd", ,"ContractData",A23, "Low",,"T")</f>
        <v>52.9</v>
      </c>
      <c r="F23" s="34">
        <f>RTD("cqg.rtd", ,"ContractData",A23, "LastTradeorSettle",,"T")</f>
        <v>54.6</v>
      </c>
      <c r="G23" s="41">
        <f>RTD("cqg.rtd",,"ContractData",A23,"NetLastTradeToday",,"T")</f>
        <v>1.3299999999999983</v>
      </c>
      <c r="H23" s="22">
        <f>RTD("cqg.rtd",,"ContractData",A23,"NetLastTradeToday",,"T")</f>
        <v>1.3299999999999983</v>
      </c>
      <c r="I23" s="30">
        <f>RTD("cqg.rtd", ,"ContractData",A23, "T_CVol")</f>
        <v>37896</v>
      </c>
      <c r="J23" s="93"/>
      <c r="K23" s="3"/>
      <c r="L23" s="3"/>
      <c r="M23" s="3"/>
      <c r="N23" s="3"/>
      <c r="O23" s="3"/>
      <c r="P23" s="3"/>
      <c r="Q23" s="4"/>
      <c r="R23" s="5"/>
      <c r="S23" s="5"/>
      <c r="T23" s="5"/>
      <c r="U23" s="95"/>
      <c r="V23" s="53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5" s="10" customFormat="1" ht="15" customHeight="1" x14ac:dyDescent="0.25">
      <c r="A24" s="27"/>
      <c r="B24" s="169"/>
      <c r="C24" s="170"/>
      <c r="D24" s="119"/>
      <c r="E24" s="117"/>
      <c r="F24" s="120"/>
      <c r="G24" s="117"/>
      <c r="H24" s="121"/>
      <c r="I24" s="118"/>
      <c r="J24" s="96"/>
      <c r="K24" s="97"/>
      <c r="L24" s="97"/>
      <c r="M24" s="97"/>
      <c r="N24" s="97"/>
      <c r="O24" s="97"/>
      <c r="P24" s="97"/>
      <c r="Q24" s="98"/>
      <c r="R24" s="99"/>
      <c r="S24" s="99"/>
      <c r="T24" s="99"/>
      <c r="U24" s="100"/>
      <c r="V24" s="53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5" s="10" customFormat="1" ht="15" customHeight="1" x14ac:dyDescent="0.25">
      <c r="A25" s="27"/>
      <c r="B25" s="148" t="s">
        <v>19</v>
      </c>
      <c r="C25" s="149"/>
      <c r="D25" s="149"/>
      <c r="E25" s="149"/>
      <c r="F25" s="149"/>
      <c r="G25" s="149"/>
      <c r="H25" s="149"/>
      <c r="I25" s="150"/>
      <c r="J25" s="37" t="s">
        <v>8</v>
      </c>
      <c r="K25" s="38" t="str">
        <f>$J$7&amp;", "&amp;K7</f>
        <v>MAR, APR</v>
      </c>
      <c r="L25" s="38" t="str">
        <f>$K$7&amp;", "&amp;L7</f>
        <v>APR, MAY</v>
      </c>
      <c r="M25" s="38" t="str">
        <f>$L$7&amp;", "&amp;M7</f>
        <v>MAY, JUN</v>
      </c>
      <c r="N25" s="38" t="str">
        <f>$M$7&amp;", "&amp;N7</f>
        <v>JUN, JUL</v>
      </c>
      <c r="O25" s="38" t="str">
        <f>$N$7&amp;", "&amp;O7</f>
        <v>JUL, AUG</v>
      </c>
      <c r="P25" s="38" t="str">
        <f>$O$7&amp;", "&amp;P7</f>
        <v>AUG, SEP</v>
      </c>
      <c r="Q25" s="38" t="str">
        <f>$P$7&amp;", "&amp;Q7</f>
        <v>SEP, OCT</v>
      </c>
      <c r="R25" s="38" t="str">
        <f>$Q$7&amp;", "&amp;R7</f>
        <v>OCT, NOV</v>
      </c>
      <c r="S25" s="38" t="str">
        <f>$R$7&amp;", "&amp;S7</f>
        <v>NOV, DEC</v>
      </c>
      <c r="T25" s="38" t="str">
        <f>$S$7&amp;", "&amp;T7</f>
        <v>DEC, JAN</v>
      </c>
      <c r="U25" s="38" t="str">
        <f>$T$7&amp;", "&amp;U7</f>
        <v>JAN, FEB</v>
      </c>
      <c r="V25" s="53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s="10" customFormat="1" ht="15" customHeight="1" x14ac:dyDescent="0.25">
      <c r="A26" s="27"/>
      <c r="B26" s="151"/>
      <c r="C26" s="152"/>
      <c r="D26" s="152"/>
      <c r="E26" s="152"/>
      <c r="F26" s="152"/>
      <c r="G26" s="152"/>
      <c r="H26" s="152"/>
      <c r="I26" s="153"/>
      <c r="J26" s="154"/>
      <c r="K26" s="47" t="str">
        <f>K13</f>
        <v>-.63 A</v>
      </c>
      <c r="L26" s="47" t="str">
        <f t="shared" ref="L26:U26" si="3">L13</f>
        <v>-.74 A</v>
      </c>
      <c r="M26" s="47" t="str">
        <f t="shared" si="3"/>
        <v>-.73 A</v>
      </c>
      <c r="N26" s="47" t="str">
        <f t="shared" si="3"/>
        <v>-.70 A</v>
      </c>
      <c r="O26" s="47" t="str">
        <f t="shared" si="3"/>
        <v>-.65 A</v>
      </c>
      <c r="P26" s="47" t="str">
        <f t="shared" si="3"/>
        <v>-.63 A</v>
      </c>
      <c r="Q26" s="47" t="str">
        <f t="shared" si="3"/>
        <v>-.57 A</v>
      </c>
      <c r="R26" s="47" t="str">
        <f t="shared" si="3"/>
        <v>-.56 A</v>
      </c>
      <c r="S26" s="47" t="str">
        <f t="shared" si="3"/>
        <v>-.55 A</v>
      </c>
      <c r="T26" s="47" t="str">
        <f t="shared" si="3"/>
        <v>-.44 A</v>
      </c>
      <c r="U26" s="47" t="str">
        <f t="shared" si="3"/>
        <v>-.44 A</v>
      </c>
      <c r="V26" s="53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5" ht="15" customHeight="1" x14ac:dyDescent="0.25">
      <c r="B27" s="45" t="s">
        <v>20</v>
      </c>
      <c r="C27" s="20" t="s">
        <v>12</v>
      </c>
      <c r="D27" s="20" t="s">
        <v>13</v>
      </c>
      <c r="E27" s="20" t="s">
        <v>14</v>
      </c>
      <c r="F27" s="20" t="s">
        <v>10</v>
      </c>
      <c r="G27" s="20" t="s">
        <v>15</v>
      </c>
      <c r="H27" s="20" t="s">
        <v>15</v>
      </c>
      <c r="I27" s="31" t="s">
        <v>16</v>
      </c>
      <c r="J27" s="154"/>
      <c r="K27" s="47" t="str">
        <f t="shared" ref="K27:U28" si="4">K14</f>
        <v>-.64 B</v>
      </c>
      <c r="L27" s="47" t="str">
        <f t="shared" si="4"/>
        <v>-.75 B</v>
      </c>
      <c r="M27" s="47" t="str">
        <f t="shared" si="4"/>
        <v>-.75 B</v>
      </c>
      <c r="N27" s="47" t="str">
        <f t="shared" si="4"/>
        <v>-.71 B</v>
      </c>
      <c r="O27" s="47" t="str">
        <f t="shared" si="4"/>
        <v>-.66 B</v>
      </c>
      <c r="P27" s="47" t="str">
        <f t="shared" si="4"/>
        <v>-.64 B</v>
      </c>
      <c r="Q27" s="47" t="str">
        <f t="shared" si="4"/>
        <v>-.59 B</v>
      </c>
      <c r="R27" s="47" t="str">
        <f t="shared" si="4"/>
        <v>-.58 B</v>
      </c>
      <c r="S27" s="47" t="str">
        <f t="shared" si="4"/>
        <v>-.57 B</v>
      </c>
      <c r="T27" s="47" t="str">
        <f t="shared" si="4"/>
        <v>-.45 B</v>
      </c>
      <c r="U27" s="47" t="str">
        <f t="shared" si="4"/>
        <v>-.45 B</v>
      </c>
      <c r="V27" s="53"/>
      <c r="W27" s="11" t="s">
        <v>7</v>
      </c>
    </row>
    <row r="28" spans="1:35" ht="15" customHeight="1" x14ac:dyDescent="0.25">
      <c r="A28" s="27" t="str">
        <f>RTD("cqg.rtd",,"ContractData","CLES1?1", "Symbol")</f>
        <v>CLES1G5</v>
      </c>
      <c r="B28" s="26" t="str">
        <f>RIGHT(RTD("cqg.rtd",,"ContractData",A28, "LongDescription"),15)</f>
        <v xml:space="preserve"> Feb 15, Mar 15</v>
      </c>
      <c r="C28" s="34">
        <f>RTD("cqg.rtd", ,"ContractData",A28, "Open",,"T")</f>
        <v>-0.45</v>
      </c>
      <c r="D28" s="34">
        <f>RTD("cqg.rtd", ,"ContractData",A28, "High",,"T")</f>
        <v>-0.42</v>
      </c>
      <c r="E28" s="34">
        <f>RTD("cqg.rtd", ,"ContractData",A28, "Low",,"T")</f>
        <v>-0.54</v>
      </c>
      <c r="F28" s="34">
        <f>RTD("cqg.rtd", ,"ContractData",A28, "LastTradeorSettle",,"T")</f>
        <v>-0.44</v>
      </c>
      <c r="G28" s="41">
        <f>RTD("cqg.rtd",,"ContractData",A28,"NetLastTradeToday",,"T")</f>
        <v>3.999999999999998E-2</v>
      </c>
      <c r="H28" s="22">
        <f>RTD("cqg.rtd",,"ContractData",A28,"NetLastTradeToday",,"T")</f>
        <v>3.999999999999998E-2</v>
      </c>
      <c r="I28" s="30">
        <f>RTD("cqg.rtd", ,"ContractData",A28, "T_CVol")</f>
        <v>93665</v>
      </c>
      <c r="J28" s="155"/>
      <c r="K28" s="68" t="str">
        <f t="shared" si="4"/>
        <v>-.63 L</v>
      </c>
      <c r="L28" s="68" t="str">
        <f t="shared" si="4"/>
        <v>-.74 L</v>
      </c>
      <c r="M28" s="68" t="str">
        <f t="shared" si="4"/>
        <v>-.74 L</v>
      </c>
      <c r="N28" s="68" t="str">
        <f t="shared" si="4"/>
        <v>-.70 L</v>
      </c>
      <c r="O28" s="68" t="str">
        <f t="shared" si="4"/>
        <v>-.65 L</v>
      </c>
      <c r="P28" s="68" t="str">
        <f t="shared" si="4"/>
        <v>-.65 L</v>
      </c>
      <c r="Q28" s="68" t="str">
        <f t="shared" si="4"/>
        <v>-.59 L</v>
      </c>
      <c r="R28" s="68" t="str">
        <f t="shared" si="4"/>
        <v>-.58 L</v>
      </c>
      <c r="S28" s="68" t="str">
        <f t="shared" si="4"/>
        <v>-.57 L</v>
      </c>
      <c r="T28" s="68" t="str">
        <f t="shared" si="4"/>
        <v>-.45 L</v>
      </c>
      <c r="U28" s="68" t="str">
        <f t="shared" si="4"/>
        <v>-.45 L</v>
      </c>
      <c r="V28" s="53"/>
    </row>
    <row r="29" spans="1:35" ht="15" customHeight="1" x14ac:dyDescent="0.25">
      <c r="A29" s="27" t="str">
        <f>RTD("cqg.rtd",,"ContractData","CLES1?2", "Symbol")</f>
        <v>CLES1H5</v>
      </c>
      <c r="B29" s="26" t="str">
        <f>RIGHT(RTD("cqg.rtd",,"ContractData",A29, "LongDescription"),15)</f>
        <v xml:space="preserve"> Mar 15, Apr 15</v>
      </c>
      <c r="C29" s="34">
        <f>RTD("cqg.rtd", ,"ContractData",A29, "Open",,"T")</f>
        <v>-0.72</v>
      </c>
      <c r="D29" s="34">
        <f>RTD("cqg.rtd", ,"ContractData",A29, "High",,"T")</f>
        <v>-0.63</v>
      </c>
      <c r="E29" s="34">
        <f>RTD("cqg.rtd", ,"ContractData",A29, "Low",,"T")</f>
        <v>-0.77</v>
      </c>
      <c r="F29" s="34">
        <f>RTD("cqg.rtd", ,"ContractData",A29, "LastTradeorSettle",,"T")</f>
        <v>-0.63</v>
      </c>
      <c r="G29" s="41">
        <f>RTD("cqg.rtd",,"ContractData",A29,"NetLastTradeToday",,"T")</f>
        <v>0.10999999999999999</v>
      </c>
      <c r="H29" s="22">
        <f>RTD("cqg.rtd",,"ContractData",A29,"NetLastTradeToday",,"T")</f>
        <v>0.10999999999999999</v>
      </c>
      <c r="I29" s="30">
        <f>RTD("cqg.rtd", ,"ContractData",A29, "T_CVol")</f>
        <v>27543</v>
      </c>
      <c r="J29" s="72"/>
      <c r="K29" s="73"/>
      <c r="L29" s="73"/>
      <c r="M29" s="73"/>
      <c r="N29" s="73"/>
      <c r="O29" s="73"/>
      <c r="P29" s="73"/>
      <c r="Q29" s="74"/>
      <c r="R29" s="75"/>
      <c r="S29" s="75"/>
      <c r="T29" s="75"/>
      <c r="U29" s="76"/>
      <c r="V29" s="53"/>
    </row>
    <row r="30" spans="1:35" ht="15" customHeight="1" x14ac:dyDescent="0.25">
      <c r="A30" s="27" t="str">
        <f>RTD("cqg.rtd",,"ContractData","CLES1?3", "Symbol")</f>
        <v>CLES1J5</v>
      </c>
      <c r="B30" s="26" t="str">
        <f>RIGHT(RTD("cqg.rtd",,"ContractData",A30, "LongDescription"),15)</f>
        <v xml:space="preserve"> Apr 15, May 15</v>
      </c>
      <c r="C30" s="34">
        <f>RTD("cqg.rtd", ,"ContractData",A30, "Open",,"T")</f>
        <v>-0.82000000000000006</v>
      </c>
      <c r="D30" s="34">
        <f>RTD("cqg.rtd", ,"ContractData",A30, "High",,"T")</f>
        <v>-0.72</v>
      </c>
      <c r="E30" s="34">
        <f>RTD("cqg.rtd", ,"ContractData",A30, "Low",,"T")</f>
        <v>-0.84</v>
      </c>
      <c r="F30" s="34">
        <f>RTD("cqg.rtd", ,"ContractData",A30, "LastTradeorSettle",,"T")</f>
        <v>-0.74</v>
      </c>
      <c r="G30" s="41">
        <f>RTD("cqg.rtd",,"ContractData",A30,"NetLastTradeToday",,"T")</f>
        <v>9.000000000000008E-2</v>
      </c>
      <c r="H30" s="22">
        <f>RTD("cqg.rtd",,"ContractData",A30,"NetLastTradeToday",,"T")</f>
        <v>9.000000000000008E-2</v>
      </c>
      <c r="I30" s="30">
        <f>RTD("cqg.rtd", ,"ContractData",A30, "T_CVol")</f>
        <v>12015</v>
      </c>
      <c r="J30" s="77"/>
      <c r="K30" s="8"/>
      <c r="L30" s="8"/>
      <c r="M30" s="8"/>
      <c r="N30" s="8"/>
      <c r="O30" s="8"/>
      <c r="P30" s="8"/>
      <c r="Q30" s="78"/>
      <c r="R30" s="53"/>
      <c r="S30" s="53"/>
      <c r="T30" s="53"/>
      <c r="U30" s="79"/>
      <c r="V30" s="53"/>
    </row>
    <row r="31" spans="1:35" ht="15" customHeight="1" x14ac:dyDescent="0.25">
      <c r="A31" s="27" t="str">
        <f>RTD("cqg.rtd",,"ContractData","CLES1?4", "Symbol")</f>
        <v>CLES1K5</v>
      </c>
      <c r="B31" s="26" t="str">
        <f>RIGHT(RTD("cqg.rtd",,"ContractData",A31, "LongDescription"),15)</f>
        <v xml:space="preserve"> May 15, Jun 15</v>
      </c>
      <c r="C31" s="34">
        <f>RTD("cqg.rtd", ,"ContractData",A31, "Open",,"T")</f>
        <v>-0.8</v>
      </c>
      <c r="D31" s="34">
        <f>RTD("cqg.rtd", ,"ContractData",A31, "High",,"T")</f>
        <v>-0.73</v>
      </c>
      <c r="E31" s="34">
        <f>RTD("cqg.rtd", ,"ContractData",A31, "Low",,"T")</f>
        <v>-0.81</v>
      </c>
      <c r="F31" s="34">
        <f>RTD("cqg.rtd", ,"ContractData",A31, "LastTradeorSettle",,"T")</f>
        <v>-0.74</v>
      </c>
      <c r="G31" s="41">
        <f>RTD("cqg.rtd",,"ContractData",A31,"NetLastTradeToday",,"T")</f>
        <v>6.0000000000000053E-2</v>
      </c>
      <c r="H31" s="22">
        <f>RTD("cqg.rtd",,"ContractData",A31,"NetLastTradeToday",,"T")</f>
        <v>6.0000000000000053E-2</v>
      </c>
      <c r="I31" s="30">
        <f>RTD("cqg.rtd", ,"ContractData",A31, "T_CVol")</f>
        <v>8231</v>
      </c>
      <c r="J31" s="77"/>
      <c r="K31" s="8"/>
      <c r="L31" s="8"/>
      <c r="M31" s="8"/>
      <c r="N31" s="8"/>
      <c r="O31" s="8"/>
      <c r="P31" s="8"/>
      <c r="Q31" s="78"/>
      <c r="R31" s="53"/>
      <c r="S31" s="53"/>
      <c r="T31" s="53"/>
      <c r="U31" s="79"/>
      <c r="V31" s="53"/>
    </row>
    <row r="32" spans="1:35" ht="15" customHeight="1" x14ac:dyDescent="0.25">
      <c r="A32" s="27" t="str">
        <f>RTD("cqg.rtd",,"ContractData","CLES1?5", "Symbol")</f>
        <v>CLES1M5</v>
      </c>
      <c r="B32" s="26" t="str">
        <f>RIGHT(RTD("cqg.rtd",,"ContractData",A32, "LongDescription"),15)</f>
        <v xml:space="preserve"> Jun 15, Jul 15</v>
      </c>
      <c r="C32" s="34">
        <f>RTD("cqg.rtd", ,"ContractData",A32, "Open",,"T")</f>
        <v>-0.75</v>
      </c>
      <c r="D32" s="34">
        <f>RTD("cqg.rtd", ,"ContractData",A32, "High",,"T")</f>
        <v>-0.70000000000000007</v>
      </c>
      <c r="E32" s="34">
        <f>RTD("cqg.rtd", ,"ContractData",A32, "Low",,"T")</f>
        <v>-0.76</v>
      </c>
      <c r="F32" s="34">
        <f>RTD("cqg.rtd", ,"ContractData",A32, "LastTradeorSettle",,"T")</f>
        <v>-0.70000000000000007</v>
      </c>
      <c r="G32" s="41">
        <f>RTD("cqg.rtd",,"ContractData",A32,"NetLastTradeToday",,"T")</f>
        <v>4.9999999999999933E-2</v>
      </c>
      <c r="H32" s="22">
        <f>RTD("cqg.rtd",,"ContractData",A32,"NetLastTradeToday",,"T")</f>
        <v>4.9999999999999933E-2</v>
      </c>
      <c r="I32" s="30">
        <f>RTD("cqg.rtd", ,"ContractData",A32, "T_CVol")</f>
        <v>5322</v>
      </c>
      <c r="J32" s="77"/>
      <c r="K32" s="8"/>
      <c r="L32" s="8"/>
      <c r="M32" s="8"/>
      <c r="N32" s="8"/>
      <c r="O32" s="8"/>
      <c r="P32" s="8"/>
      <c r="Q32" s="78"/>
      <c r="R32" s="53"/>
      <c r="S32" s="53"/>
      <c r="T32" s="53"/>
      <c r="U32" s="79"/>
      <c r="V32" s="53"/>
    </row>
    <row r="33" spans="1:34" s="10" customFormat="1" ht="15" customHeight="1" x14ac:dyDescent="0.25">
      <c r="A33" s="27" t="str">
        <f>RTD("cqg.rtd",,"ContractData","CLES1?6", "Symbol")</f>
        <v>CLES1N5</v>
      </c>
      <c r="B33" s="29" t="str">
        <f>RIGHT(RTD("cqg.rtd",,"ContractData",A33, "LongDescription"),15)</f>
        <v xml:space="preserve"> Jul 15, Aug 15</v>
      </c>
      <c r="C33" s="35">
        <f>RTD("cqg.rtd", ,"ContractData",A33, "Open",,"T")</f>
        <v>-0.72</v>
      </c>
      <c r="D33" s="35">
        <f>RTD("cqg.rtd", ,"ContractData",A33, "High",,"T")</f>
        <v>-0.65</v>
      </c>
      <c r="E33" s="35">
        <f>RTD("cqg.rtd", ,"ContractData",A33, "Low",,"T")</f>
        <v>-0.73</v>
      </c>
      <c r="F33" s="35">
        <f>RTD("cqg.rtd", ,"ContractData",A33, "LastTradeorSettle",,"T")</f>
        <v>-0.65</v>
      </c>
      <c r="G33" s="41">
        <f>RTD("cqg.rtd",,"ContractData",A33,"NetLastTradeToday",,"T")</f>
        <v>6.9999999999999951E-2</v>
      </c>
      <c r="H33" s="23">
        <f>RTD("cqg.rtd",,"ContractData",A33,"NetLastTradeToday",,"T")</f>
        <v>6.9999999999999951E-2</v>
      </c>
      <c r="I33" s="32">
        <f>RTD("cqg.rtd", ,"ContractData",A33, "T_CVol")</f>
        <v>1478</v>
      </c>
      <c r="J33" s="77"/>
      <c r="K33" s="8"/>
      <c r="L33" s="8"/>
      <c r="M33" s="8"/>
      <c r="N33" s="8"/>
      <c r="O33" s="8"/>
      <c r="P33" s="8"/>
      <c r="Q33" s="78"/>
      <c r="R33" s="53"/>
      <c r="S33" s="53"/>
      <c r="T33" s="53"/>
      <c r="U33" s="79"/>
      <c r="V33" s="53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ht="15" customHeight="1" x14ac:dyDescent="0.25">
      <c r="A34" s="27" t="str">
        <f>RTD("cqg.rtd",,"ContractData","CLES1?7", "Symbol")</f>
        <v>CLES1Q5</v>
      </c>
      <c r="B34" s="29" t="str">
        <f>RIGHT(RTD("cqg.rtd",,"ContractData",A34, "LongDescription"),15)</f>
        <v xml:space="preserve"> Aug 15, Sep 15</v>
      </c>
      <c r="C34" s="35">
        <f>RTD("cqg.rtd", ,"ContractData",A34, "Open",,"T")</f>
        <v>-0.72</v>
      </c>
      <c r="D34" s="35">
        <f>RTD("cqg.rtd", ,"ContractData",A34, "High",,"T")</f>
        <v>-0.64</v>
      </c>
      <c r="E34" s="35">
        <f>RTD("cqg.rtd", ,"ContractData",A34, "Low",,"T")</f>
        <v>-0.74</v>
      </c>
      <c r="F34" s="35">
        <f>RTD("cqg.rtd", ,"ContractData",A34, "LastTradeorSettle",,"T")</f>
        <v>-0.65</v>
      </c>
      <c r="G34" s="42">
        <f>RTD("cqg.rtd",,"ContractData",A34,"NetLastTradeToday",,"T")</f>
        <v>6.9999999999999951E-2</v>
      </c>
      <c r="H34" s="23">
        <f>RTD("cqg.rtd",,"ContractData",A34,"NetLastTradeToday",,"T")</f>
        <v>6.9999999999999951E-2</v>
      </c>
      <c r="I34" s="32">
        <f>RTD("cqg.rtd", ,"ContractData",A34, "T_CVol")</f>
        <v>1183</v>
      </c>
      <c r="J34" s="80"/>
      <c r="K34" s="7"/>
      <c r="L34" s="7"/>
      <c r="M34" s="7"/>
      <c r="N34" s="7"/>
      <c r="O34" s="7"/>
      <c r="P34" s="7"/>
      <c r="Q34" s="81"/>
      <c r="R34" s="53"/>
      <c r="S34" s="53"/>
      <c r="T34" s="53"/>
      <c r="U34" s="79"/>
      <c r="V34" s="53"/>
    </row>
    <row r="35" spans="1:34" ht="15" customHeight="1" x14ac:dyDescent="0.25">
      <c r="A35" s="27" t="str">
        <f>RTD("cqg.rtd",,"ContractData","CLES1?8", "Symbol")</f>
        <v>CLES1U5</v>
      </c>
      <c r="B35" s="29" t="str">
        <f>RIGHT(RTD("cqg.rtd",,"ContractData",A35, "LongDescription"),15)</f>
        <v xml:space="preserve"> Sep 15, Oct 15</v>
      </c>
      <c r="C35" s="35">
        <f>RTD("cqg.rtd", ,"ContractData",A35, "Open",,"T")</f>
        <v>-0.68</v>
      </c>
      <c r="D35" s="35">
        <f>RTD("cqg.rtd", ,"ContractData",A35, "High",,"T")</f>
        <v>-0.57999999999999996</v>
      </c>
      <c r="E35" s="35">
        <f>RTD("cqg.rtd", ,"ContractData",A35, "Low",,"T")</f>
        <v>-0.68</v>
      </c>
      <c r="F35" s="35">
        <f>RTD("cqg.rtd", ,"ContractData",A35, "LastTradeorSettle",,"T")</f>
        <v>-0.59</v>
      </c>
      <c r="G35" s="41">
        <f>RTD("cqg.rtd",,"ContractData",A35,"NetLastTradeToday",,"T")</f>
        <v>8.0000000000000071E-2</v>
      </c>
      <c r="H35" s="23">
        <f>RTD("cqg.rtd",,"ContractData",A35,"NetLastTradeToday",,"T")</f>
        <v>8.0000000000000071E-2</v>
      </c>
      <c r="I35" s="32">
        <f>RTD("cqg.rtd", ,"ContractData",A35, "T_CVol")</f>
        <v>648</v>
      </c>
      <c r="J35" s="77"/>
      <c r="K35" s="8"/>
      <c r="L35" s="8"/>
      <c r="M35" s="8"/>
      <c r="N35" s="8"/>
      <c r="O35" s="8"/>
      <c r="P35" s="8"/>
      <c r="Q35" s="78"/>
      <c r="R35" s="53"/>
      <c r="S35" s="53"/>
      <c r="T35" s="53"/>
      <c r="U35" s="79"/>
      <c r="V35" s="53"/>
    </row>
    <row r="36" spans="1:34" ht="15" customHeight="1" x14ac:dyDescent="0.25">
      <c r="A36" s="27" t="str">
        <f>RTD("cqg.rtd",,"ContractData","CLES1?9", "Symbol")</f>
        <v>CLES1V5</v>
      </c>
      <c r="B36" s="29" t="str">
        <f>RIGHT(RTD("cqg.rtd",,"ContractData",A36, "LongDescription"),15)</f>
        <v xml:space="preserve"> Oct 15, Nov 15</v>
      </c>
      <c r="C36" s="35">
        <f>RTD("cqg.rtd", ,"ContractData",A36, "Open",,"T")</f>
        <v>-0.67</v>
      </c>
      <c r="D36" s="35">
        <f>RTD("cqg.rtd", ,"ContractData",A36, "High",,"T")</f>
        <v>-0.57000000000000006</v>
      </c>
      <c r="E36" s="35">
        <f>RTD("cqg.rtd", ,"ContractData",A36, "Low",,"T")</f>
        <v>-0.67</v>
      </c>
      <c r="F36" s="35">
        <f>RTD("cqg.rtd", ,"ContractData",A36, "LastTradeorSettle",,"T")</f>
        <v>-0.57999999999999996</v>
      </c>
      <c r="G36" s="42">
        <f>RTD("cqg.rtd",,"ContractData",A36,"NetLastTradeToday",,"T")</f>
        <v>8.0000000000000071E-2</v>
      </c>
      <c r="H36" s="23">
        <f>RTD("cqg.rtd",,"ContractData",A36,"NetLastTradeToday",,"T")</f>
        <v>8.0000000000000071E-2</v>
      </c>
      <c r="I36" s="32">
        <f>RTD("cqg.rtd", ,"ContractData",A36, "T_CVol")</f>
        <v>614</v>
      </c>
      <c r="J36" s="77"/>
      <c r="K36" s="8"/>
      <c r="L36" s="8"/>
      <c r="M36" s="8"/>
      <c r="N36" s="8"/>
      <c r="O36" s="8"/>
      <c r="P36" s="8"/>
      <c r="Q36" s="78"/>
      <c r="R36" s="53"/>
      <c r="S36" s="53"/>
      <c r="T36" s="53"/>
      <c r="U36" s="79"/>
      <c r="V36" s="53"/>
    </row>
    <row r="37" spans="1:34" ht="15" customHeight="1" x14ac:dyDescent="0.25">
      <c r="A37" s="27" t="str">
        <f>RTD("cqg.rtd",,"ContractData","CLES1?10", "Symbol")</f>
        <v>CLES1X5</v>
      </c>
      <c r="B37" s="29" t="str">
        <f>RIGHT(RTD("cqg.rtd",,"ContractData",A37, "LongDescription"),15)</f>
        <v xml:space="preserve"> Nov 15, Dec 15</v>
      </c>
      <c r="C37" s="35">
        <f>RTD("cqg.rtd", ,"ContractData",A37, "Open",,"T")</f>
        <v>-0.66</v>
      </c>
      <c r="D37" s="35">
        <f>RTD("cqg.rtd", ,"ContractData",A37, "High",,"T")</f>
        <v>-0.55000000000000004</v>
      </c>
      <c r="E37" s="35">
        <f>RTD("cqg.rtd", ,"ContractData",A37, "Low",,"T")</f>
        <v>-0.66</v>
      </c>
      <c r="F37" s="35">
        <f>RTD("cqg.rtd", ,"ContractData",A37, "LastTradeorSettle",,"T")</f>
        <v>-0.57000000000000006</v>
      </c>
      <c r="G37" s="42">
        <f>RTD("cqg.rtd",,"ContractData",A37,"NetLastTradeToday",,"T")</f>
        <v>7.999999999999996E-2</v>
      </c>
      <c r="H37" s="23">
        <f>RTD("cqg.rtd",,"ContractData",A37,"NetLastTradeToday",,"T")</f>
        <v>7.999999999999996E-2</v>
      </c>
      <c r="I37" s="32">
        <f>RTD("cqg.rtd", ,"ContractData",A37, "T_CVol")</f>
        <v>784</v>
      </c>
      <c r="J37" s="77"/>
      <c r="K37" s="8"/>
      <c r="L37" s="8"/>
      <c r="M37" s="8"/>
      <c r="N37" s="8"/>
      <c r="O37" s="8"/>
      <c r="P37" s="8"/>
      <c r="Q37" s="78"/>
      <c r="R37" s="53"/>
      <c r="S37" s="53"/>
      <c r="T37" s="53"/>
      <c r="U37" s="79"/>
      <c r="V37" s="53"/>
    </row>
    <row r="38" spans="1:34" s="10" customFormat="1" ht="15" customHeight="1" x14ac:dyDescent="0.25">
      <c r="A38" s="27" t="str">
        <f>RTD("cqg.rtd",,"ContractData","CLES1?11", "Symbol")</f>
        <v>CLES1Z5</v>
      </c>
      <c r="B38" s="29" t="str">
        <f>RIGHT(RTD("cqg.rtd",,"ContractData",A38, "LongDescription"),15)</f>
        <v xml:space="preserve"> Dec 15, Jan 16</v>
      </c>
      <c r="C38" s="35">
        <f>RTD("cqg.rtd", ,"ContractData",A38, "Open",,"T")</f>
        <v>-0.53</v>
      </c>
      <c r="D38" s="35">
        <f>RTD("cqg.rtd", ,"ContractData",A38, "High",,"T")</f>
        <v>-0.43</v>
      </c>
      <c r="E38" s="35">
        <f>RTD("cqg.rtd", ,"ContractData",A38, "Low",,"T")</f>
        <v>-0.53</v>
      </c>
      <c r="F38" s="35">
        <f>RTD("cqg.rtd", ,"ContractData",A38, "LastTradeorSettle",,"T")</f>
        <v>-0.45</v>
      </c>
      <c r="G38" s="42">
        <f>RTD("cqg.rtd",,"ContractData",A38,"NetLastTradeToday",,"T")</f>
        <v>7.0000000000000007E-2</v>
      </c>
      <c r="H38" s="23">
        <f>RTD("cqg.rtd",,"ContractData",A38,"NetLastTradeToday",,"T")</f>
        <v>7.0000000000000007E-2</v>
      </c>
      <c r="I38" s="32">
        <f>RTD("cqg.rtd", ,"ContractData",A38, "T_CVol")</f>
        <v>335</v>
      </c>
      <c r="J38" s="77"/>
      <c r="K38" s="8"/>
      <c r="L38" s="8"/>
      <c r="M38" s="8"/>
      <c r="N38" s="8"/>
      <c r="O38" s="8"/>
      <c r="P38" s="8"/>
      <c r="Q38" s="78"/>
      <c r="R38" s="53"/>
      <c r="S38" s="53"/>
      <c r="T38" s="53"/>
      <c r="U38" s="79"/>
      <c r="V38" s="53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s="10" customFormat="1" ht="15" customHeight="1" x14ac:dyDescent="0.25">
      <c r="A39" s="27" t="str">
        <f>RTD("cqg.rtd",,"ContractData","CLES1?12", "Symbol")</f>
        <v>CLES1F6</v>
      </c>
      <c r="B39" s="29" t="str">
        <f>RIGHT(RTD("cqg.rtd",,"ContractData",A39, "LongDescription"),15)</f>
        <v xml:space="preserve"> Jan 16, Feb 16</v>
      </c>
      <c r="C39" s="35">
        <f>RTD("cqg.rtd", ,"ContractData",A39, "Open",,"T")</f>
        <v>-0.53</v>
      </c>
      <c r="D39" s="35">
        <f>RTD("cqg.rtd", ,"ContractData",A39, "High",,"T")</f>
        <v>-0.44</v>
      </c>
      <c r="E39" s="35">
        <f>RTD("cqg.rtd", ,"ContractData",A39, "Low",,"T")</f>
        <v>-0.53</v>
      </c>
      <c r="F39" s="35">
        <f>RTD("cqg.rtd", ,"ContractData",A39, "LastTradeorSettle",,"T")</f>
        <v>-0.45</v>
      </c>
      <c r="G39" s="42">
        <f>RTD("cqg.rtd",,"ContractData",A39,"NetLastTradeToday",,"T")</f>
        <v>0.06</v>
      </c>
      <c r="H39" s="23">
        <f>RTD("cqg.rtd",,"ContractData",A39,"NetLastTradeToday",,"T")</f>
        <v>0.06</v>
      </c>
      <c r="I39" s="32">
        <f>RTD("cqg.rtd", ,"ContractData",A39, "T_CVol")</f>
        <v>162</v>
      </c>
      <c r="J39" s="77"/>
      <c r="K39" s="8"/>
      <c r="L39" s="8"/>
      <c r="M39" s="8"/>
      <c r="N39" s="8"/>
      <c r="O39" s="8"/>
      <c r="P39" s="8"/>
      <c r="Q39" s="78"/>
      <c r="R39" s="53"/>
      <c r="S39" s="53"/>
      <c r="T39" s="53"/>
      <c r="U39" s="79"/>
      <c r="V39" s="5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 s="10" customFormat="1" ht="15" customHeight="1" x14ac:dyDescent="0.25">
      <c r="A40" s="27"/>
      <c r="B40" s="169"/>
      <c r="C40" s="170"/>
      <c r="D40" s="119"/>
      <c r="E40" s="117"/>
      <c r="F40" s="120"/>
      <c r="G40" s="117"/>
      <c r="H40" s="121"/>
      <c r="I40" s="118"/>
      <c r="J40" s="82"/>
      <c r="K40" s="83"/>
      <c r="L40" s="83"/>
      <c r="M40" s="83"/>
      <c r="N40" s="83"/>
      <c r="O40" s="83"/>
      <c r="P40" s="83"/>
      <c r="Q40" s="84"/>
      <c r="R40" s="54"/>
      <c r="S40" s="54"/>
      <c r="T40" s="54"/>
      <c r="U40" s="85"/>
      <c r="V40" s="5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ht="15" customHeight="1" x14ac:dyDescent="0.25">
      <c r="B41" s="148" t="s">
        <v>21</v>
      </c>
      <c r="C41" s="149"/>
      <c r="D41" s="149"/>
      <c r="E41" s="149"/>
      <c r="F41" s="149"/>
      <c r="G41" s="149"/>
      <c r="H41" s="149"/>
      <c r="I41" s="150"/>
      <c r="J41" s="69" t="s">
        <v>8</v>
      </c>
      <c r="K41" s="70" t="str">
        <f t="shared" ref="K41:T41" si="5">J7&amp;", "&amp;K7&amp;", "&amp;L7</f>
        <v>MAR, APR, MAY</v>
      </c>
      <c r="L41" s="70" t="str">
        <f t="shared" si="5"/>
        <v>APR, MAY, JUN</v>
      </c>
      <c r="M41" s="70" t="str">
        <f t="shared" si="5"/>
        <v>MAY, JUN, JUL</v>
      </c>
      <c r="N41" s="70" t="str">
        <f t="shared" si="5"/>
        <v>JUN, JUL, AUG</v>
      </c>
      <c r="O41" s="70" t="str">
        <f t="shared" si="5"/>
        <v>JUL, AUG, SEP</v>
      </c>
      <c r="P41" s="70" t="str">
        <f t="shared" si="5"/>
        <v>AUG, SEP, OCT</v>
      </c>
      <c r="Q41" s="70" t="str">
        <f t="shared" si="5"/>
        <v>SEP, OCT, NOV</v>
      </c>
      <c r="R41" s="70" t="str">
        <f t="shared" si="5"/>
        <v>OCT, NOV, DEC</v>
      </c>
      <c r="S41" s="70" t="str">
        <f t="shared" si="5"/>
        <v>NOV, DEC, JAN</v>
      </c>
      <c r="T41" s="70" t="str">
        <f t="shared" si="5"/>
        <v>DEC, JAN, FEB</v>
      </c>
      <c r="U41" s="71"/>
      <c r="V41" s="53"/>
    </row>
    <row r="42" spans="1:34" ht="15" customHeight="1" x14ac:dyDescent="0.25">
      <c r="B42" s="151"/>
      <c r="C42" s="152"/>
      <c r="D42" s="152"/>
      <c r="E42" s="152"/>
      <c r="F42" s="152"/>
      <c r="G42" s="152"/>
      <c r="H42" s="152"/>
      <c r="I42" s="153"/>
      <c r="J42" s="154"/>
      <c r="K42" s="16" t="str">
        <f>TEXT(RTD("cqg.rtd",,"ContractData","SPREAD(CLES1?1-CLES1?2)","Ask",,"T"),"#.00")&amp;" "&amp;"A"</f>
        <v>.21 A</v>
      </c>
      <c r="L42" s="16" t="str">
        <f>TEXT(RTD("cqg.rtd",,"ContractData","SPREAD(CLES1?2-CLES1?3)","Ask",,"T"),"#.00")&amp;" "&amp;"A"</f>
        <v>.12 A</v>
      </c>
      <c r="M42" s="16" t="str">
        <f>TEXT(RTD("cqg.rtd",,"ContractData","SPREAD(CLES1?3-CLES1?4)","Ask",,"T"),"#.00")&amp;" "&amp;"A"</f>
        <v>.01 A</v>
      </c>
      <c r="N42" s="16" t="str">
        <f>TEXT(RTD("cqg.rtd",,"ContractData","SPREAD(CLES1?4-CLES1?5)","Ask",,"T"),"#.00")&amp;" "&amp;"A"</f>
        <v>-.02 A</v>
      </c>
      <c r="O42" s="16" t="str">
        <f>TEXT(RTD("cqg.rtd",,"ContractData","SPREAD(CLES1?5-CLES1?6)","Ask",,"T"),"#.00")&amp;" "&amp;"A"</f>
        <v>-.04 A</v>
      </c>
      <c r="P42" s="16" t="str">
        <f>TEXT(RTD("cqg.rtd",,"ContractData","SPREAD(CLES1?6-CLES1?7)","Ask",,"T"),"#.00")&amp;" "&amp;"A"</f>
        <v>-.01 A</v>
      </c>
      <c r="Q42" s="16" t="str">
        <f>TEXT(RTD("cqg.rtd",,"ContractData","SPREAD(CLES1?7-CLES1?8)","Ask",,"T"),"#.00")&amp;" "&amp;"A"</f>
        <v>-.04 A</v>
      </c>
      <c r="R42" s="16" t="str">
        <f>TEXT(RTD("cqg.rtd",,"ContractData","SPREAD(CLES1?8-CLES1?9)","Ask",,"T"),"#.00")&amp;" "&amp;"A"</f>
        <v>.01 A</v>
      </c>
      <c r="S42" s="16" t="str">
        <f>TEXT(RTD("cqg.rtd",,"ContractData","SPREAD(CLES1?9-CLES1?10)","Ask",,"T"),"#.00")&amp;" "&amp;"A"</f>
        <v>.01 A</v>
      </c>
      <c r="T42" s="16" t="str">
        <f>TEXT(RTD("cqg.rtd",,"ContractData","SPREAD(CLES1?10-CLES1?11)","Ask",,"T"),"#.00")&amp;" "&amp;"A"</f>
        <v>-.10 A</v>
      </c>
      <c r="U42" s="55"/>
      <c r="V42" s="53"/>
    </row>
    <row r="43" spans="1:34" ht="15" customHeight="1" x14ac:dyDescent="0.25">
      <c r="B43" s="171" t="s">
        <v>20</v>
      </c>
      <c r="C43" s="172"/>
      <c r="D43" s="173"/>
      <c r="E43" s="20" t="s">
        <v>12</v>
      </c>
      <c r="F43" s="20" t="s">
        <v>13</v>
      </c>
      <c r="G43" s="20" t="s">
        <v>14</v>
      </c>
      <c r="H43" s="20" t="s">
        <v>10</v>
      </c>
      <c r="I43" s="20" t="s">
        <v>15</v>
      </c>
      <c r="J43" s="154"/>
      <c r="K43" s="16" t="str">
        <f>TEXT(RTD("cqg.rtd",,"ContractData","SPREAD(CLES1?1-CLES1?2)","Bid",,"T"),"#.00")&amp;" "&amp;"B"</f>
        <v>.19 B</v>
      </c>
      <c r="L43" s="16" t="str">
        <f>TEXT(RTD("cqg.rtd",,"ContractData","SPREAD(CLES1?2-CLES1?3)","Bid",,"T"),"#.00")&amp;" "&amp;"B"</f>
        <v>.10 B</v>
      </c>
      <c r="M43" s="16" t="str">
        <f>TEXT(RTD("cqg.rtd",,"ContractData","SPREAD(CLES1?3-CLES1?4)","Bid",,"T"),"#.00")&amp;" "&amp;"B"</f>
        <v>-.02 B</v>
      </c>
      <c r="N43" s="16" t="str">
        <f>TEXT(RTD("cqg.rtd",,"ContractData","SPREAD(CLES1?4-CLES1?5)","Bid",,"T"),"#.00")&amp;" "&amp;"B"</f>
        <v>-.05 B</v>
      </c>
      <c r="O43" s="16" t="str">
        <f>TEXT(RTD("cqg.rtd",,"ContractData","SPREAD(CLES1?5-CLES1?6)","Bid",,"T"),"#.00")&amp;" "&amp;"B"</f>
        <v>-.06 B</v>
      </c>
      <c r="P43" s="16" t="str">
        <f>TEXT(RTD("cqg.rtd",,"ContractData","SPREAD(CLES1?6-CLES1?7)","Bid",,"T"),"#.00")&amp;" "&amp;"B"</f>
        <v>-.03 B</v>
      </c>
      <c r="Q43" s="16" t="str">
        <f>TEXT(RTD("cqg.rtd",,"ContractData","SPREAD(CLES1?7-CLES1?8)","Bid",,"T"),"#.00")&amp;" "&amp;"B"</f>
        <v>-.07 B</v>
      </c>
      <c r="R43" s="16" t="str">
        <f>TEXT(RTD("cqg.rtd",,"ContractData","SPREAD(CLES1?8-CLES1?9)","Bid",,"T"),"#.00")&amp;" "&amp;"B"</f>
        <v>-.03 B</v>
      </c>
      <c r="S43" s="16" t="str">
        <f>TEXT(RTD("cqg.rtd",,"ContractData","SPREAD(CLES1?9-CLES1?10)","Bid",,"T"),"#.00")&amp;" "&amp;"B"</f>
        <v>-.03 B</v>
      </c>
      <c r="T43" s="16" t="str">
        <f>TEXT(RTD("cqg.rtd",,"ContractData","SPREAD(CLES1?10-CLES1?11)","Bid",,"T"),"#.00")&amp;" "&amp;"B"</f>
        <v>-.13 B</v>
      </c>
      <c r="U43" s="55"/>
      <c r="V43" s="53"/>
      <c r="AA43" s="11">
        <f>RTD("cqg.rtd", ,"ContractData",AC43, "T_CVol")</f>
        <v>378067</v>
      </c>
      <c r="AC43" s="11" t="str">
        <f>CLE!Q2</f>
        <v>CLEH5</v>
      </c>
      <c r="AD43" s="11" t="e">
        <f>RTD("cqg.rtd", ,"ContractData",AF43, "T_CVol")</f>
        <v>#REF!</v>
      </c>
      <c r="AF43" s="11" t="e">
        <f>#REF!</f>
        <v>#REF!</v>
      </c>
    </row>
    <row r="44" spans="1:34" ht="15" customHeight="1" x14ac:dyDescent="0.25">
      <c r="B44" s="145" t="str">
        <f>RIGHT(RTD("cqg.rtd",,"ContractData","CLES1?1","LongDescription"),15)&amp;" &amp; "&amp;RIGHT(RTD("cqg.rtd",,"ContractData","CLES1?2","LongDescription"),15)</f>
        <v xml:space="preserve"> Feb 15, Mar 15 &amp;  Mar 15, Apr 15</v>
      </c>
      <c r="C44" s="146"/>
      <c r="D44" s="147"/>
      <c r="E44" s="44">
        <f xml:space="preserve"> RTD("cqg.rtd",,"StudyData","Consolidate(CLES1?1-CLES1?2,5X,CLES1?1-CLES1?2,1,0)",  "Bar",, "Open", "D",,,,,,"T")</f>
        <v>0.25</v>
      </c>
      <c r="F44" s="43">
        <f xml:space="preserve"> RTD("cqg.rtd",,"StudyData","Consolidate(CLES1?1-CLES1?2,5X,CLES1?1-CLES1?2,1,0)",  "Bar",, "High", "D",,,,,,"T")</f>
        <v>0.32</v>
      </c>
      <c r="G44" s="43">
        <f xml:space="preserve"> RTD("cqg.rtd",,"StudyData","Consolidate(CLES1?1-CLES1?2,5X,CLES1?1-CLES1?2,1,0)",  "Bar",, "Low", "D",,,,,,"T")</f>
        <v>0.19</v>
      </c>
      <c r="H44" s="43">
        <f xml:space="preserve"> RTD("cqg.rtd",,"StudyData","Consolidate(CLES1?1-CLES1?2,5X,CLES1?1-CLES1?2,1,0)",  "Bar",, "Close", "D",,,,,,"T")</f>
        <v>0.19</v>
      </c>
      <c r="I44" s="46">
        <f xml:space="preserve"> RTD("cqg.rtd",,"StudyData","Consolidate(CLES1?1-CLES1?2,5X,CLES1?1-CLES1?2,1,0)",  "Bar",, "Close", "D","0",,,,,"T")-RTD("cqg.rtd",,"StudyData","Consolidate(CLES1?1-CLES1?2,5X,CLES1?1-CLES1?2,1,0)",  "Bar",, "Close", "D","-1",,,,,"T")</f>
        <v>-7.0000000000000007E-2</v>
      </c>
      <c r="J44" s="154"/>
      <c r="K44" s="16" t="str">
        <f>TEXT(RTD("cqg.rtd",,"StudyData","Consolidate(CLES1?1-CLES1?2,5X,CLES1?1-CLES1?2,1,0)",  "Bar",, "Close", "D",,,,,,"T"),"#.00")&amp;" "&amp;"L"</f>
        <v>.19 L</v>
      </c>
      <c r="L44" s="16" t="str">
        <f>TEXT(RTD("cqg.rtd",,"StudyData","Consolidate(CLES1?2-CLES1?3,5X,CLES1?2-CLES1?3,1,0)",  "Bar",, "Close", "D",,,,,,"T"),"#.00")&amp;" "&amp;"L"</f>
        <v>.11 L</v>
      </c>
      <c r="M44" s="16" t="str">
        <f>TEXT(RTD("cqg.rtd",,"StudyData","Consolidate(CLES1?3-CLES1?4,5X,CLES1?3-CLES1?4,1,0)",  "Bar",, "Close", "D",,,,,,"T"),"#.00")&amp;" "&amp;"L"</f>
        <v>.00 L</v>
      </c>
      <c r="N44" s="16" t="str">
        <f>TEXT(RTD("cqg.rtd",,"StudyData","Consolidate(CLES1?4-CLES1?5,5X,CLES1?4-CLES1?5,1,0)",  "Bar",, "Close", "D",,,,,,"T"),"#.00")&amp;" "&amp;"L"</f>
        <v>-.04 L</v>
      </c>
      <c r="O44" s="16" t="str">
        <f>TEXT(RTD("cqg.rtd",,"StudyData","Consolidate(CLES1?5-CLES1?6,5X,CLES1?5-CLES1?6,1,0)",  "Bar",, "Close", "D",,,,,,"T"),"#.00")&amp;" "&amp;"L"</f>
        <v>-.05 L</v>
      </c>
      <c r="P44" s="16" t="str">
        <f>TEXT(RTD("cqg.rtd",,"StudyData","Consolidate(CLES1?6-CLES1?7,5X,CLES1?6-CLES1?7,1,0)",  "Bar",, "Close", "D",,,,,,"T"),"#.00")&amp;" "&amp;"L"</f>
        <v>.00 L</v>
      </c>
      <c r="Q44" s="16" t="str">
        <f>TEXT(RTD("cqg.rtd",,"StudyData","Consolidate(CLES1?6-CLES1?7,5X,CLES1?6-CLES1?7,1,0)",  "Bar",, "Close", "D",,,,,,"T"),"#.00")&amp;" "&amp;"L"</f>
        <v>.00 L</v>
      </c>
      <c r="R44" s="16" t="str">
        <f>TEXT(RTD("cqg.rtd",,"StudyData","Consolidate(CLES1?8-CLES1?9,5X,CLES1?8-CLES1?9,1,0)",  "Bar",, "Close", "D",,,,,,"T"),"#.00")&amp;" "&amp;"L"</f>
        <v>-.01 L</v>
      </c>
      <c r="S44" s="16" t="str">
        <f>TEXT(RTD("cqg.rtd",,"StudyData","Consolidate(CLES1?9-CLES1?10,5X,CLES1?9-CLES1?10,1,0)",  "Bar",, "Close", "D",,,,,,"T"),"#.00")&amp;" "&amp;"L"</f>
        <v>-.01 L</v>
      </c>
      <c r="T44" s="16" t="str">
        <f>TEXT(RTD("cqg.rtd",,"StudyData","Consolidate(CLES1?10-CLES1?11,5X,CLES1?10-CLES1?11,1,0)",  "Bar",, "Close", "D",,,,,,"T"),"#.00")&amp;" "&amp;"L"</f>
        <v>-.12 L</v>
      </c>
      <c r="U44" s="55"/>
      <c r="V44" s="53"/>
      <c r="AA44" s="11">
        <f>RTD("cqg.rtd", ,"ContractData",AC44, "T_CVol")</f>
        <v>61137</v>
      </c>
      <c r="AC44" s="11" t="str">
        <f>CLE!Q3</f>
        <v>CLEJ5</v>
      </c>
      <c r="AD44" s="11" t="e">
        <f>RTD("cqg.rtd", ,"ContractData",AF44, "T_CVol")</f>
        <v>#REF!</v>
      </c>
      <c r="AF44" s="11" t="e">
        <f>#REF!</f>
        <v>#REF!</v>
      </c>
    </row>
    <row r="45" spans="1:34" ht="15" customHeight="1" x14ac:dyDescent="0.25">
      <c r="B45" s="145" t="str">
        <f>RIGHT(RTD("cqg.rtd",,"ContractData","CLES1?2", "LongDescription"),15)&amp;" &amp; "&amp;RIGHT(RTD("cqg.rtd",,"ContractData","CLES1?3", "LongDescription"),15)</f>
        <v xml:space="preserve"> Mar 15, Apr 15 &amp;  Apr 15, May 15</v>
      </c>
      <c r="C45" s="146"/>
      <c r="D45" s="147"/>
      <c r="E45" s="44">
        <f xml:space="preserve"> RTD("cqg.rtd",,"StudyData","Consolidate(CLES1?2-CLES1?3,5X,CLES1?2-CLES3?2,1,0)",  "Bar",, "Open", "D",,,,,,"T")</f>
        <v>0.11</v>
      </c>
      <c r="F45" s="43">
        <f xml:space="preserve"> RTD("cqg.rtd",,"StudyData","Consolidate(CLES1?2-CLES1?3,5X,CLES1?2-CLES1?3,1,0)",  "Bar",, "High", "D",,,,,,"T")</f>
        <v>0.11</v>
      </c>
      <c r="G45" s="43">
        <f xml:space="preserve"> RTD("cqg.rtd",,"StudyData","Consolidate(CLES1?2-CLES1?3,5X,CLES1?2-CLES1?3,1,0)",  "Bar",, "Low", "D",,,,,,"T")</f>
        <v>0.04</v>
      </c>
      <c r="H45" s="43">
        <f xml:space="preserve"> RTD("cqg.rtd",,"StudyData","Consolidate(CLES1?2-CLES1?3,5X,CLES1?2-CLES1?3,1,0)",  "Bar",, "Close", "D",,,,,,"T")</f>
        <v>0.11</v>
      </c>
      <c r="I45" s="57">
        <f xml:space="preserve"> RTD("cqg.rtd",,"StudyData","Consolidate(CLES1?2-CLES1?3,5X,CLES1?2-CLES1?3,1,0)",  "Bar",, "Close", "D","0",,,,,"T")-RTD("cqg.rtd",,"StudyData","Consolidate(CLES1?2-CLES1?3,5X,CLES1?2-CLES1?3,1,0)",  "Bar",, "Close", "D","-1",,,,,"T")</f>
        <v>9.999999999999995E-3</v>
      </c>
      <c r="J45" s="58"/>
      <c r="K45" s="59"/>
      <c r="L45" s="59"/>
      <c r="M45" s="59"/>
      <c r="N45" s="59"/>
      <c r="O45" s="59"/>
      <c r="P45" s="59"/>
      <c r="Q45" s="60"/>
      <c r="R45" s="60"/>
      <c r="S45" s="60"/>
      <c r="T45" s="61"/>
      <c r="U45" s="56"/>
      <c r="V45" s="53"/>
      <c r="AA45" s="11">
        <f>RTD("cqg.rtd", ,"ContractData",AC45, "T_CVol")</f>
        <v>33795</v>
      </c>
      <c r="AC45" s="11" t="str">
        <f>CLE!Q4</f>
        <v>CLEK5</v>
      </c>
      <c r="AD45" s="11" t="e">
        <f>RTD("cqg.rtd", ,"ContractData",AF45, "T_CVol")</f>
        <v>#REF!</v>
      </c>
      <c r="AF45" s="11" t="e">
        <f>#REF!</f>
        <v>#REF!</v>
      </c>
    </row>
    <row r="46" spans="1:34" ht="15" customHeight="1" x14ac:dyDescent="0.25">
      <c r="B46" s="145" t="str">
        <f>RIGHT(RTD("cqg.rtd",,"ContractData","CLES1?3", "LongDescription"),15)&amp;" &amp; "&amp;RIGHT(RTD("cqg.rtd",,"ContractData","CLES1?4", "LongDescription"),15)</f>
        <v xml:space="preserve"> Apr 15, May 15 &amp;  May 15, Jun 15</v>
      </c>
      <c r="C46" s="146"/>
      <c r="D46" s="147"/>
      <c r="E46" s="44">
        <f xml:space="preserve"> RTD("cqg.rtd",,"StudyData","Consolidate(CLES1?3-CLES1?4,5X,CLES1?3-CLES1?4,1,0)",  "Bar",, "Open", "D",,,,,,"T")</f>
        <v>-0.02</v>
      </c>
      <c r="F46" s="43">
        <f xml:space="preserve"> RTD("cqg.rtd",,"StudyData","Consolidate(CLES1?3-CLES1?4,5X,CLES1?3-CLES1?4,1,0)",  "Bar",, "High", "D",,,,,,"T")</f>
        <v>0.01</v>
      </c>
      <c r="G46" s="43">
        <f xml:space="preserve"> RTD("cqg.rtd",,"StudyData","Consolidate(CLES1?3-CLES1?4,5X,CLES1?3-CLES1?4,1,0)",  "Bar",, "Low", "D",,,,,,"T")</f>
        <v>-0.04</v>
      </c>
      <c r="H46" s="43">
        <f xml:space="preserve"> RTD("cqg.rtd",,"StudyData","Consolidate(CLES1?3-CLES1?4,5X,CLES1?3-CLES3?4,1,0)",  "Bar",, "Close", "D",,,,,,"T")</f>
        <v>0</v>
      </c>
      <c r="I46" s="57">
        <f xml:space="preserve"> RTD("cqg.rtd",,"StudyData","Consolidate(CLES1?3-CLES1?4,5X,CLES1?3-CLES1?4,1,0)",  "Bar",, "Close", "D","0",,,,,"T")-RTD("cqg.rtd",,"StudyData","Consolidate(CLES1?3-CLES1?4,5X,CLES1?3-CLES1?4,1,0)",  "Bar",, "Close", "D","-1",,,,,"T")</f>
        <v>0.02</v>
      </c>
      <c r="J46" s="62"/>
      <c r="K46" s="8"/>
      <c r="L46" s="8"/>
      <c r="M46" s="8"/>
      <c r="N46" s="8"/>
      <c r="O46" s="8"/>
      <c r="P46" s="8"/>
      <c r="Q46" s="53"/>
      <c r="R46" s="53"/>
      <c r="S46" s="53"/>
      <c r="T46" s="56"/>
      <c r="U46" s="56"/>
      <c r="V46" s="53"/>
      <c r="AA46" s="11">
        <f>RTD("cqg.rtd", ,"ContractData",AC46, "T_CVol")</f>
        <v>53944</v>
      </c>
      <c r="AC46" s="11" t="str">
        <f>CLE!Q5</f>
        <v>CLEM5</v>
      </c>
      <c r="AD46" s="11" t="e">
        <f>RTD("cqg.rtd", ,"ContractData",AF46, "T_CVol")</f>
        <v>#REF!</v>
      </c>
      <c r="AF46" s="11" t="e">
        <f>#REF!</f>
        <v>#REF!</v>
      </c>
    </row>
    <row r="47" spans="1:34" ht="15" customHeight="1" x14ac:dyDescent="0.25">
      <c r="B47" s="145" t="str">
        <f>RIGHT(RTD("cqg.rtd",,"ContractData","CLES1?4", "LongDescription"),15)&amp;" &amp; "&amp;RIGHT(RTD("cqg.rtd",,"ContractData","CLES1?5", "LongDescription"),15)</f>
        <v xml:space="preserve"> May 15, Jun 15 &amp;  Jun 15, Jul 15</v>
      </c>
      <c r="C47" s="146"/>
      <c r="D47" s="147"/>
      <c r="E47" s="44">
        <f xml:space="preserve"> RTD("cqg.rtd",,"StudyData","Consolidate(CLES1?4-CLES1?5,5X,CLES1?4-CLES1?5,1,0)",  "Bar",, "Open", "D",,,,,,"T")</f>
        <v>-0.04</v>
      </c>
      <c r="F47" s="43">
        <f xml:space="preserve"> RTD("cqg.rtd",,"StudyData","Consolidate(CLES1?4-CLES1?5,5X,CLES1?4-CLES1?5,1,0)",  "Bar",, "High", "D",,,,,,"T")</f>
        <v>-0.01</v>
      </c>
      <c r="G47" s="43">
        <f xml:space="preserve"> RTD("cqg.rtd",,"StudyData","Consolidate(CLES1?4-CLES1?5,5X,CLES1?4-CLES1?5,1,0)",  "Bar",, "Low", "D",,,,,,"T")</f>
        <v>-7.0000000000000007E-2</v>
      </c>
      <c r="H47" s="43">
        <f xml:space="preserve"> RTD("cqg.rtd",,"StudyData","Consolidate(CLES1?4-CLES1?5,5X,CLES1?4-CLES1?5,1,0)",  "Bar",, "Close", "D",,,,,,"T")</f>
        <v>-0.04</v>
      </c>
      <c r="I47" s="57">
        <f xml:space="preserve"> RTD("cqg.rtd",,"StudyData","Consolidate(CLES1?4-CLES1?5,5X,CLES1?4-CLES1?5,1,0)",  "Bar",, "Close", "D","0",,,,,"T")-RTD("cqg.rtd",,"StudyData","Consolidate(CLES1?4-CLES1?5,5X,CLES1?4-CLES1?5,1,0)",  "Bar",, "Close", "D","-1",,,,,"T")</f>
        <v>-1.0000000000000002E-2</v>
      </c>
      <c r="J47" s="62"/>
      <c r="K47" s="8"/>
      <c r="L47" s="8"/>
      <c r="M47" s="8"/>
      <c r="N47" s="8"/>
      <c r="O47" s="8"/>
      <c r="P47" s="8"/>
      <c r="Q47" s="53"/>
      <c r="R47" s="53"/>
      <c r="S47" s="53"/>
      <c r="T47" s="56"/>
      <c r="U47" s="56"/>
      <c r="V47" s="53"/>
      <c r="AA47" s="11">
        <f>RTD("cqg.rtd", ,"ContractData",AC47, "T_CVol")</f>
        <v>12210</v>
      </c>
      <c r="AC47" s="11" t="str">
        <f>CLE!Q6</f>
        <v>CLEN5</v>
      </c>
      <c r="AD47" s="11" t="e">
        <f>RTD("cqg.rtd", ,"ContractData",AF47, "T_CVol")</f>
        <v>#REF!</v>
      </c>
      <c r="AF47" s="11" t="e">
        <f>#REF!</f>
        <v>#REF!</v>
      </c>
    </row>
    <row r="48" spans="1:34" ht="15" customHeight="1" x14ac:dyDescent="0.25">
      <c r="B48" s="145" t="str">
        <f>RIGHT(RTD("cqg.rtd",,"ContractData","CLES1?5", "LongDescription"),15)&amp;" &amp; "&amp;RIGHT(RTD("cqg.rtd",,"ContractData","CLES1?6", "LongDescription"),15)</f>
        <v xml:space="preserve"> Jun 15, Jul 15 &amp;  Jul 15, Aug 15</v>
      </c>
      <c r="C48" s="146"/>
      <c r="D48" s="147"/>
      <c r="E48" s="44">
        <f xml:space="preserve"> RTD("cqg.rtd",,"StudyData","Consolidate(CLES1?5-CLES1?6,5X,CLES1?5-CLES1?6,1,0)",  "Bar",, "Open", "D",,,,,,"T")</f>
        <v>-0.05</v>
      </c>
      <c r="F48" s="43">
        <f xml:space="preserve"> RTD("cqg.rtd",,"StudyData","Consolidate(CLES1?5-CLES1?6,5X,CLES1?5-CLES1?6,1,0)",  "Bar",, "High", "D",,,,,,"T")</f>
        <v>-0.02</v>
      </c>
      <c r="G48" s="43">
        <f xml:space="preserve"> RTD("cqg.rtd",,"StudyData","Consolidate(CLES1?5-CLES1?6,5X,CLES1?5-CLES1?6,1,0)",  "Bar",, "Low", "D",,,,,,"T")</f>
        <v>-0.06</v>
      </c>
      <c r="H48" s="43">
        <f xml:space="preserve"> RTD("cqg.rtd",,"StudyData","Consolidate(CLES1?5-CLES1?6,5X,CLES1?5-CLES1?6,1,0)",  "Bar",, "Close", "D",,,,,,"T")</f>
        <v>-0.05</v>
      </c>
      <c r="I48" s="57">
        <f xml:space="preserve"> RTD("cqg.rtd",,"StudyData","Consolidate(CLES1?5-CLES1?6,5X,CLES1?5-CLES1?6,1,0)",  "Bar",, "Close", "D","0",,,,,"T")-RTD("cqg.rtd",,"StudyData","Consolidate(CLES1?5-CLES1?6,5X,CLES1?5-CLES1?6,1,0)",  "Bar",, "Close", "D","-1",,,,,"T")</f>
        <v>0</v>
      </c>
      <c r="J48" s="62"/>
      <c r="K48" s="8"/>
      <c r="L48" s="8"/>
      <c r="M48" s="8"/>
      <c r="N48" s="8"/>
      <c r="O48" s="8"/>
      <c r="P48" s="8"/>
      <c r="Q48" s="53"/>
      <c r="R48" s="53"/>
      <c r="S48" s="53"/>
      <c r="T48" s="56"/>
      <c r="U48" s="56"/>
      <c r="V48" s="53"/>
      <c r="AA48" s="11">
        <f>RTD("cqg.rtd", ,"ContractData",AC48, "T_CVol")</f>
        <v>4749</v>
      </c>
      <c r="AC48" s="11" t="str">
        <f>CLE!Q7</f>
        <v>CLEQ5</v>
      </c>
      <c r="AD48" s="11" t="e">
        <f>RTD("cqg.rtd", ,"ContractData",AF48, "T_CVol")</f>
        <v>#REF!</v>
      </c>
      <c r="AF48" s="11" t="e">
        <f>#REF!</f>
        <v>#REF!</v>
      </c>
    </row>
    <row r="49" spans="1:34" ht="15" customHeight="1" x14ac:dyDescent="0.25">
      <c r="B49" s="145" t="str">
        <f>RIGHT(RTD("cqg.rtd",,"ContractData","CLES1?6", "LongDescription"),15)&amp;" &amp; "&amp;RIGHT(RTD("cqg.rtd",,"ContractData","CLES1?7", "LongDescription"),15)</f>
        <v xml:space="preserve"> Jul 15, Aug 15 &amp;  Aug 15, Sep 15</v>
      </c>
      <c r="C49" s="146"/>
      <c r="D49" s="147"/>
      <c r="E49" s="44">
        <f xml:space="preserve"> RTD("cqg.rtd",,"StudyData","Consolidate(CLES1?6-CLES1?7,5X,CLES1?6-CLES1?7,1,0)",  "Bar",, "Open", "D",,,,,,"T")</f>
        <v>0.01</v>
      </c>
      <c r="F49" s="43">
        <f xml:space="preserve"> RTD("cqg.rtd",,"StudyData","Consolidate(CLES1?6-CLES1?7,5X,CLES1?6-CLES1?7,1,0)",  "Bar",, "High", "D",,,,,,"T")</f>
        <v>0.02</v>
      </c>
      <c r="G49" s="43">
        <f xml:space="preserve"> RTD("cqg.rtd",,"StudyData","Consolidate(CLES1?6-CLES1?7,5X,CLES1?6-CLES1?7,1,0)",  "Bar",, "Low", "D",,,,,,"T")</f>
        <v>-0.02</v>
      </c>
      <c r="H49" s="43">
        <f xml:space="preserve"> RTD("cqg.rtd",,"StudyData","Consolidate(CLES1?6-CLES1?7,5X,CLES1?6-CLES1?7,1,0)",  "Bar",, "Close", "D",,,,,,"T")</f>
        <v>0</v>
      </c>
      <c r="I49" s="57">
        <f xml:space="preserve"> RTD("cqg.rtd",,"StudyData","Consolidate(CLES1?6-CLES1?7,5X,CLES1?6-CLES1?7,1,0)",  "Bar",, "Close", "D","0",,,,,"T")-RTD("cqg.rtd",,"StudyData","Consolidate(CLES1?6-CLES1?7,5X,CLES1?6-CLES1?7,1,0)",  "Bar",, "Close", "D","-1",,,,,"T")</f>
        <v>-0.01</v>
      </c>
      <c r="J49" s="63"/>
      <c r="K49" s="9"/>
      <c r="L49" s="9"/>
      <c r="M49" s="9"/>
      <c r="N49" s="9"/>
      <c r="O49" s="9"/>
      <c r="P49" s="9"/>
      <c r="Q49" s="53"/>
      <c r="R49" s="53"/>
      <c r="S49" s="53"/>
      <c r="T49" s="56"/>
      <c r="U49" s="56"/>
      <c r="V49" s="53"/>
      <c r="AA49" s="11">
        <f>RTD("cqg.rtd", ,"ContractData",AC49, "T_CVol")</f>
        <v>12804</v>
      </c>
      <c r="AC49" s="11" t="str">
        <f>CLE!Q8</f>
        <v>CLEU5</v>
      </c>
      <c r="AD49" s="11" t="e">
        <f>RTD("cqg.rtd", ,"ContractData",AF49, "T_CVol")</f>
        <v>#REF!</v>
      </c>
      <c r="AF49" s="11" t="e">
        <f>#REF!</f>
        <v>#REF!</v>
      </c>
    </row>
    <row r="50" spans="1:34" ht="15" customHeight="1" x14ac:dyDescent="0.25">
      <c r="B50" s="145" t="str">
        <f>RIGHT(RTD("cqg.rtd",,"ContractData","CLES1?7", "LongDescription"),15)&amp;" &amp; "&amp;RIGHT(RTD("cqg.rtd",,"ContractData","CLES1?8", "LongDescription"),15)</f>
        <v xml:space="preserve"> Aug 15, Sep 15 &amp;  Sep 15, Oct 15</v>
      </c>
      <c r="C50" s="146"/>
      <c r="D50" s="147"/>
      <c r="E50" s="44">
        <f xml:space="preserve"> RTD("cqg.rtd",,"StudyData","Consolidate(CLES1?7-CLES1?8,5X,CLES1?7-CLES1?8,1,0)",  "Bar",, "Open", "D",,,,,,"T")</f>
        <v>-0.04</v>
      </c>
      <c r="F50" s="43">
        <f xml:space="preserve"> RTD("cqg.rtd",,"StudyData","Consolidate(CLES1?7-CLES1?8,5X,CLES1?7-CLES1?8,1,0)",  "Bar",, "High", "D",,,,,,"T")</f>
        <v>-0.04</v>
      </c>
      <c r="G50" s="43">
        <f xml:space="preserve"> RTD("cqg.rtd",,"StudyData","Consolidate(CLES1?7-CLES1?8,5X,CLES1?7-CLES1?8,1,0)",  "Bar",, "Low", "D",,,,,,"T")</f>
        <v>-7.0000000000000007E-2</v>
      </c>
      <c r="H50" s="43">
        <f xml:space="preserve"> RTD("cqg.rtd",,"StudyData","Consolidate(CLES1?7-CLES1?8,5X,CLES1?7-CLES1?8,1,0)",  "Bar",, "Close", "D",,,,,,"T")</f>
        <v>-0.06</v>
      </c>
      <c r="I50" s="57">
        <f xml:space="preserve"> RTD("cqg.rtd",,"StudyData","Consolidate(CLES1?7-CLES1?8,5X,CLES1?7-CLES1?8,1,0)",  "Bar",, "Close", "D","0",,,,,"T")-RTD("cqg.rtd",,"StudyData","Consolidate(CLES1?7-CLES1?8,5X,CLES1?7-CLES1?8,1,0)",  "Bar",, "Close", "D","-1",,,,,"T")</f>
        <v>-1.9999999999999997E-2</v>
      </c>
      <c r="J50" s="62"/>
      <c r="K50" s="8"/>
      <c r="L50" s="8"/>
      <c r="M50" s="8"/>
      <c r="N50" s="8"/>
      <c r="O50" s="8"/>
      <c r="P50" s="8"/>
      <c r="Q50" s="53"/>
      <c r="R50" s="53"/>
      <c r="S50" s="53"/>
      <c r="T50" s="56"/>
      <c r="U50" s="56"/>
      <c r="V50" s="53"/>
      <c r="AA50" s="11">
        <f>RTD("cqg.rtd", ,"ContractData",AC50, "T_CVol")</f>
        <v>2130</v>
      </c>
      <c r="AC50" s="11" t="str">
        <f>CLE!Q9</f>
        <v>CLEV5</v>
      </c>
      <c r="AD50" s="11" t="e">
        <f>RTD("cqg.rtd", ,"ContractData",AF50, "T_CVol")</f>
        <v>#REF!</v>
      </c>
      <c r="AF50" s="11" t="e">
        <f>#REF!</f>
        <v>#REF!</v>
      </c>
    </row>
    <row r="51" spans="1:34" ht="15" customHeight="1" x14ac:dyDescent="0.25">
      <c r="B51" s="145" t="str">
        <f>RIGHT(RTD("cqg.rtd",,"ContractData","CLES1?8", "LongDescription"),15)&amp;" &amp; "&amp;RIGHT(RTD("cqg.rtd",,"ContractData","CLES1?9", "LongDescription"),15)</f>
        <v xml:space="preserve"> Sep 15, Oct 15 &amp;  Oct 15, Nov 15</v>
      </c>
      <c r="C51" s="146"/>
      <c r="D51" s="147"/>
      <c r="E51" s="44">
        <f xml:space="preserve"> RTD("cqg.rtd",,"StudyData","Consolidate(CLES1?8-CLES1?9,5X,CLES1?8-CLES1?9,1,0)",  "Bar",, "Open", "D",,,,,,"T")</f>
        <v>-0.01</v>
      </c>
      <c r="F51" s="43">
        <f xml:space="preserve"> RTD("cqg.rtd",,"StudyData","Consolidate(CLES1?8-CLES1?9,5X,CLES1?8-CLES1?9,1,0)",  "Bar",, "High", "D",,,,,,"T")</f>
        <v>0.03</v>
      </c>
      <c r="G51" s="43">
        <f xml:space="preserve"> RTD("cqg.rtd",,"StudyData","Consolidate(CLES1?8-CLES1?9,5X,CLES1?8-CLES1?9,1,0)",  "Bar",, "Low", "D",,,,,,"T")</f>
        <v>-0.02</v>
      </c>
      <c r="H51" s="43">
        <f xml:space="preserve"> RTD("cqg.rtd",,"StudyData","Consolidate(CLES1?8-CLES1?9,5X,CLES1?8-CLES1?9,1,0)",  "Bar",, "Close", "D",,,,,,"T")</f>
        <v>-0.01</v>
      </c>
      <c r="I51" s="57">
        <f xml:space="preserve"> RTD("cqg.rtd",,"StudyData","Consolidate(CLES1?8-CLES1?9,5X,CLES1?8-CLES1?9,1,0)",  "Bar",, "Close", "D","0",,,,,"T")-RTD("cqg.rtd",,"StudyData","Consolidate(CLES1?8-CLES1?9,5X,CLES1?8-CLES1?9,1,0)",  "Bar",, "Close", "D","-1",,,,,"T")</f>
        <v>0.01</v>
      </c>
      <c r="J51" s="62"/>
      <c r="K51" s="8"/>
      <c r="L51" s="8"/>
      <c r="M51" s="8"/>
      <c r="N51" s="8"/>
      <c r="O51" s="8"/>
      <c r="P51" s="8"/>
      <c r="Q51" s="53"/>
      <c r="R51" s="53"/>
      <c r="S51" s="53"/>
      <c r="T51" s="56"/>
      <c r="U51" s="56"/>
      <c r="V51" s="53"/>
      <c r="AA51" s="11">
        <f>RTD("cqg.rtd", ,"ContractData",AC51, "T_CVol")</f>
        <v>1754</v>
      </c>
      <c r="AC51" s="11" t="str">
        <f>CLE!Q10</f>
        <v>CLEX5</v>
      </c>
      <c r="AD51" s="11" t="e">
        <f>RTD("cqg.rtd", ,"ContractData",AF51, "T_CVol")</f>
        <v>#REF!</v>
      </c>
      <c r="AF51" s="11" t="e">
        <f>#REF!</f>
        <v>#REF!</v>
      </c>
    </row>
    <row r="52" spans="1:34" ht="15" customHeight="1" x14ac:dyDescent="0.25">
      <c r="B52" s="145" t="str">
        <f>RIGHT(RTD("cqg.rtd",,"ContractData","CLES1?9", "LongDescription"),15)&amp;" &amp; "&amp;RIGHT(RTD("cqg.rtd",,"ContractData","CLES1?10", "LongDescription"),15)</f>
        <v xml:space="preserve"> Oct 15, Nov 15 &amp;  Nov 15, Dec 15</v>
      </c>
      <c r="C52" s="146"/>
      <c r="D52" s="147"/>
      <c r="E52" s="44">
        <f xml:space="preserve"> RTD("cqg.rtd",,"StudyData","Consolidate(CLES1?9-CLES1?10,5X,CLES1?9-CLES1?10,1,0)",  "Bar",, "Open", "D",,,,,,"T")</f>
        <v>-0.01</v>
      </c>
      <c r="F52" s="43">
        <f xml:space="preserve"> RTD("cqg.rtd",,"StudyData","Consolidate(CLES1?9-CLES1?10,5X,CLES1?9-CLES1?10,1,0)",  "Bar",, "High", "D",,,,,,"T")</f>
        <v>-0.01</v>
      </c>
      <c r="G52" s="43">
        <f xml:space="preserve"> RTD("cqg.rtd",,"StudyData","Consolidate(CLES1?9-CLES1?10,5X,CLES1?9-CLES1?10,1,0)",  "Bar",, "Low", "D",,,,,,"T")</f>
        <v>-0.06</v>
      </c>
      <c r="H52" s="43">
        <f xml:space="preserve"> RTD("cqg.rtd",,"StudyData","Consolidate(CLES1?9-CLES1?10,5X,CLES1?9-CLES1?10,1,0)",  "Bar",, "Close", "D",,,,,,"T")</f>
        <v>-0.01</v>
      </c>
      <c r="I52" s="57">
        <f xml:space="preserve"> RTD("cqg.rtd",,"StudyData","Consolidate(CLES1?9-CLES1?10,5X,CLES1?9-CLES1?10,1,0)",  "Bar",, "Close", "D","0",,,,,"T")-RTD("cqg.rtd",,"StudyData","Consolidate(CLES1?9-CLES1?10,5X,CLES1?9-CLES1?10,1,0)",  "Bar",, "Close", "D","-1",,,,,"T")</f>
        <v>-0.01</v>
      </c>
      <c r="J52" s="62"/>
      <c r="K52" s="8"/>
      <c r="L52" s="8"/>
      <c r="M52" s="8"/>
      <c r="N52" s="8"/>
      <c r="O52" s="8"/>
      <c r="P52" s="8"/>
      <c r="Q52" s="53"/>
      <c r="R52" s="53"/>
      <c r="S52" s="53"/>
      <c r="T52" s="56"/>
      <c r="U52" s="56"/>
      <c r="V52" s="53"/>
      <c r="AA52" s="11">
        <f>RTD("cqg.rtd", ,"ContractData",AC52, "T_CVol")</f>
        <v>37896</v>
      </c>
      <c r="AC52" s="11" t="str">
        <f>CLE!Q11</f>
        <v>CLEZ5</v>
      </c>
      <c r="AD52" s="11" t="e">
        <f>RTD("cqg.rtd", ,"ContractData",AF52, "T_CVol")</f>
        <v>#REF!</v>
      </c>
      <c r="AF52" s="11" t="e">
        <f>#REF!</f>
        <v>#REF!</v>
      </c>
    </row>
    <row r="53" spans="1:34" ht="15" customHeight="1" x14ac:dyDescent="0.25">
      <c r="B53" s="145" t="str">
        <f>RIGHT(RTD("cqg.rtd",,"ContractData","CLES1?10", "LongDescription"),15)&amp;" &amp; "&amp;RIGHT(RTD("cqg.rtd",,"ContractData","CLES1?11", "LongDescription"),15)</f>
        <v xml:space="preserve"> Nov 15, Dec 15 &amp;  Dec 15, Jan 16</v>
      </c>
      <c r="C53" s="146"/>
      <c r="D53" s="147"/>
      <c r="E53" s="44">
        <f xml:space="preserve"> RTD("cqg.rtd",,"StudyData","Consolidate(CLES1?10-CLES1?11,5X,CLES1?10-CLES1?11,1,0)",  "Bar",, "Open", "D",,,,,,"T")</f>
        <v>-0.14000000000000001</v>
      </c>
      <c r="F53" s="43">
        <f xml:space="preserve"> RTD("cqg.rtd",,"StudyData","Consolidate(CLES1?10-CLES1?11,5X,CLES1?10-CLES1?11,1,0)",  "Bar",, "High", "D",,,,,,"T")</f>
        <v>-0.1</v>
      </c>
      <c r="G53" s="43">
        <f xml:space="preserve"> RTD("cqg.rtd",,"StudyData","Consolidate(CLES1?10-CLES1?11,5X,CLES1?10-CLES1?11,1,0)",  "Bar",, "Low", "D",,,,,,"T")</f>
        <v>-0.14000000000000001</v>
      </c>
      <c r="H53" s="43">
        <f xml:space="preserve"> RTD("cqg.rtd",,"StudyData","Consolidate(CLES1?10-CLES1?11,5X,CLES1?10-CLES1?11,1,0)",  "Bar",, "Close", "D",,,,,,"T")</f>
        <v>-0.12</v>
      </c>
      <c r="I53" s="57">
        <f xml:space="preserve"> RTD("cqg.rtd",,"StudyData","Consolidate(CLES1?10-CLES1?11,5X,CLES1?10-CLES1?11,1,0)",  "Bar",, "Close", "D","0",,,,,"T")-RTD("cqg.rtd",,"StudyData","Consolidate(CLES1?10-CLES1?11,5X,CLES1?10-CLES1?11,1,0)",  "Bar",, "Close", "D","-1",,,,,"T")</f>
        <v>2.0000000000000018E-2</v>
      </c>
      <c r="J53" s="64"/>
      <c r="K53" s="2"/>
      <c r="L53" s="9"/>
      <c r="M53" s="9"/>
      <c r="N53" s="9"/>
      <c r="O53" s="9"/>
      <c r="P53" s="9"/>
      <c r="Q53" s="53"/>
      <c r="R53" s="53"/>
      <c r="S53" s="53"/>
      <c r="T53" s="56"/>
      <c r="U53" s="56"/>
      <c r="V53" s="53"/>
      <c r="AA53" s="11">
        <f>RTD("cqg.rtd", ,"ContractData",AC53, "T_CVol")</f>
        <v>693</v>
      </c>
      <c r="AC53" s="11" t="str">
        <f>CLE!Q12</f>
        <v>CLEF6</v>
      </c>
      <c r="AD53" s="11" t="e">
        <f>RTD("cqg.rtd", ,"ContractData",AF53, "T_CVol")</f>
        <v>#REF!</v>
      </c>
      <c r="AF53" s="11" t="e">
        <f>#REF!</f>
        <v>#REF!</v>
      </c>
    </row>
    <row r="54" spans="1:34" ht="15" customHeight="1" x14ac:dyDescent="0.25">
      <c r="B54" s="141"/>
      <c r="C54" s="142"/>
      <c r="D54" s="124"/>
      <c r="E54" s="125"/>
      <c r="F54" s="126"/>
      <c r="G54" s="125"/>
      <c r="H54" s="127"/>
      <c r="I54" s="128"/>
      <c r="J54" s="122"/>
      <c r="K54" s="8"/>
      <c r="L54" s="8"/>
      <c r="M54" s="8"/>
      <c r="N54" s="8"/>
      <c r="O54" s="8"/>
      <c r="P54" s="8"/>
      <c r="Q54" s="53"/>
      <c r="R54" s="53"/>
      <c r="S54" s="53"/>
      <c r="T54" s="56"/>
      <c r="U54" s="56"/>
      <c r="V54" s="53"/>
      <c r="AA54" s="11">
        <f>RTD("cqg.rtd", ,"ContractData",AC54, "T_CVol")</f>
        <v>367</v>
      </c>
      <c r="AC54" s="11" t="str">
        <f>CLE!Q13</f>
        <v>CLEG6</v>
      </c>
      <c r="AD54" s="11" t="e">
        <f>RTD("cqg.rtd", ,"ContractData",AF54, "T_CVol")</f>
        <v>#REF!</v>
      </c>
      <c r="AF54" s="11" t="e">
        <f>#REF!</f>
        <v>#REF!</v>
      </c>
    </row>
    <row r="55" spans="1:34" ht="15" customHeight="1" x14ac:dyDescent="0.25">
      <c r="B55" s="129" t="s">
        <v>23</v>
      </c>
      <c r="C55" s="139">
        <f>RTD("cqg.rtd", ,"SystemInfo", "Linetime")</f>
        <v>42020.647881944446</v>
      </c>
      <c r="D55" s="139"/>
      <c r="E55" s="140" t="s">
        <v>9</v>
      </c>
      <c r="F55" s="140"/>
      <c r="G55" s="139">
        <f>RTD("cqg.rtd", ,"SystemInfo", "Linetime")+0.25</f>
        <v>42020.897881944446</v>
      </c>
      <c r="H55" s="139"/>
      <c r="I55" s="131"/>
      <c r="J55" s="122"/>
      <c r="K55" s="8"/>
      <c r="L55" s="8"/>
      <c r="M55" s="8"/>
      <c r="N55" s="8"/>
      <c r="O55" s="8"/>
      <c r="P55" s="8"/>
      <c r="Q55" s="53"/>
      <c r="R55" s="53"/>
      <c r="S55" s="53"/>
      <c r="T55" s="56"/>
      <c r="U55" s="56"/>
      <c r="V55" s="53"/>
    </row>
    <row r="56" spans="1:34" ht="15" customHeight="1" x14ac:dyDescent="0.25">
      <c r="B56" s="129" t="s">
        <v>34</v>
      </c>
      <c r="C56" s="139">
        <f>RTD("cqg.rtd", ,"SystemInfo", "Linetime")+15/24</f>
        <v>42021.272881944446</v>
      </c>
      <c r="D56" s="139"/>
      <c r="E56" s="130"/>
      <c r="F56" s="143" t="s">
        <v>33</v>
      </c>
      <c r="G56" s="143"/>
      <c r="H56" s="143"/>
      <c r="I56" s="131"/>
      <c r="J56" s="123"/>
      <c r="K56" s="65"/>
      <c r="L56" s="65"/>
      <c r="M56" s="65"/>
      <c r="N56" s="65"/>
      <c r="O56" s="65"/>
      <c r="P56" s="65"/>
      <c r="Q56" s="66"/>
      <c r="R56" s="66"/>
      <c r="S56" s="66"/>
      <c r="T56" s="67"/>
      <c r="U56" s="56"/>
      <c r="V56" s="53"/>
      <c r="AA56" s="11">
        <f>RTD("cqg.rtd", ,"ContractData",AC56, "T_CVol")</f>
        <v>27543</v>
      </c>
      <c r="AC56" s="11" t="str">
        <f>CLE!V2</f>
        <v>CLES1H</v>
      </c>
      <c r="AD56" s="11" t="e">
        <f>RTD("cqg.rtd",,"StudyData",AF56, "Vol", "VolType=auto,CoCType=Contract", "Vol","D","0","ALL",,,"TRUE","T")</f>
        <v>#REF!</v>
      </c>
      <c r="AF56" s="11" t="e">
        <f>#REF!</f>
        <v>#REF!</v>
      </c>
    </row>
    <row r="57" spans="1:34" ht="15.9" customHeight="1" x14ac:dyDescent="0.25">
      <c r="B57" s="158"/>
      <c r="C57" s="144"/>
      <c r="D57" s="144"/>
      <c r="E57" s="144"/>
      <c r="F57" s="144"/>
      <c r="G57" s="156"/>
      <c r="H57" s="156"/>
      <c r="I57" s="176"/>
      <c r="J57" s="176"/>
      <c r="K57" s="132"/>
      <c r="L57" s="133"/>
      <c r="M57" s="157"/>
      <c r="N57" s="157"/>
      <c r="O57" s="156"/>
      <c r="P57" s="156"/>
      <c r="Q57" s="175"/>
      <c r="R57" s="175"/>
      <c r="S57" s="133"/>
      <c r="T57" s="157"/>
      <c r="U57" s="174"/>
      <c r="V57" s="53"/>
      <c r="AA57" s="11">
        <f>RTD("cqg.rtd", ,"ContractData",AC57, "T_CVol")</f>
        <v>12015</v>
      </c>
      <c r="AC57" s="11" t="str">
        <f>CLE!V3</f>
        <v>CLES1J</v>
      </c>
      <c r="AD57" s="11" t="e">
        <f>RTD("cqg.rtd",,"StudyData",AF57, "Vol", "VolType=auto,CoCType=Contract", "Vol","D","0","ALL",,,"TRUE","T")</f>
        <v>#REF!</v>
      </c>
      <c r="AF57" s="11" t="e">
        <f>#REF!</f>
        <v>#REF!</v>
      </c>
    </row>
    <row r="58" spans="1:34" ht="15.9" customHeight="1" x14ac:dyDescent="0.25">
      <c r="B58" s="3"/>
      <c r="C58" s="3"/>
      <c r="D58" s="3"/>
      <c r="E58" s="3"/>
      <c r="F58" s="8"/>
      <c r="G58" s="8"/>
      <c r="N58" s="8"/>
      <c r="O58" s="8"/>
      <c r="P58" s="8"/>
      <c r="V58" s="53"/>
      <c r="AA58" s="11">
        <f>RTD("cqg.rtd", ,"ContractData",AC58, "T_CVol")</f>
        <v>8231</v>
      </c>
      <c r="AC58" s="11" t="str">
        <f>CLE!V4</f>
        <v>CLES1K</v>
      </c>
      <c r="AD58" s="11" t="e">
        <f>RTD("cqg.rtd",,"StudyData",AF58, "Vol", "VolType=auto,CoCType=Contract", "Vol","D","0","ALL",,,"TRUE","T")</f>
        <v>#REF!</v>
      </c>
      <c r="AF58" s="11" t="e">
        <f>#REF!</f>
        <v>#REF!</v>
      </c>
    </row>
    <row r="59" spans="1:34" ht="15.9" customHeight="1" x14ac:dyDescent="0.25">
      <c r="B59" s="129"/>
      <c r="C59" s="139"/>
      <c r="D59" s="139"/>
      <c r="V59" s="53"/>
      <c r="AA59" s="11">
        <f>RTD("cqg.rtd", ,"ContractData",AC59, "T_CVol")</f>
        <v>5322</v>
      </c>
      <c r="AC59" s="11" t="str">
        <f>CLE!V5</f>
        <v>CLES1M</v>
      </c>
      <c r="AD59" s="11" t="e">
        <f>RTD("cqg.rtd",,"StudyData",AF59, "Vol", "VolType=auto,CoCType=Contract", "Vol","D","0","ALL",,,"TRUE","T")</f>
        <v>#REF!</v>
      </c>
      <c r="AF59" s="11" t="e">
        <f>#REF!</f>
        <v>#REF!</v>
      </c>
    </row>
    <row r="60" spans="1:34" ht="15.9" customHeight="1" x14ac:dyDescent="0.25">
      <c r="V60" s="53"/>
      <c r="AA60" s="11">
        <f>RTD("cqg.rtd", ,"ContractData",AC60, "T_CVol")</f>
        <v>1478</v>
      </c>
      <c r="AC60" s="11" t="str">
        <f>CLE!V6</f>
        <v>CLES1N</v>
      </c>
      <c r="AD60" s="11" t="e">
        <f>RTD("cqg.rtd",,"StudyData",AF60, "Vol", "VolType=auto,CoCType=Contract", "Vol","D","0","ALL",,,"TRUE","T")</f>
        <v>#REF!</v>
      </c>
      <c r="AF60" s="11" t="e">
        <f>#REF!</f>
        <v>#REF!</v>
      </c>
    </row>
    <row r="61" spans="1:34" ht="15.9" customHeight="1" x14ac:dyDescent="0.25">
      <c r="F61" s="10"/>
      <c r="G61" s="10"/>
      <c r="H61" s="10"/>
      <c r="I61" s="10"/>
      <c r="J61" s="10"/>
      <c r="K61" s="10"/>
      <c r="L61" s="10"/>
      <c r="M61" s="10"/>
      <c r="N61" s="10"/>
      <c r="V61" s="53"/>
      <c r="AA61" s="11">
        <f>RTD("cqg.rtd", ,"ContractData",AC61, "T_CVol")</f>
        <v>1183</v>
      </c>
      <c r="AC61" s="11" t="str">
        <f>CLE!V7</f>
        <v>CLES1Q</v>
      </c>
      <c r="AD61" s="11" t="e">
        <f>RTD("cqg.rtd",,"StudyData",AF61, "Vol", "VolType=auto,CoCType=Contract", "Vol","D","0","ALL",,,"TRUE","T")</f>
        <v>#REF!</v>
      </c>
      <c r="AF61" s="11" t="e">
        <f>#REF!</f>
        <v>#REF!</v>
      </c>
    </row>
    <row r="62" spans="1:34" ht="15.9" customHeight="1" x14ac:dyDescent="0.25">
      <c r="F62" s="10"/>
      <c r="G62" s="10"/>
      <c r="H62" s="10"/>
      <c r="I62" s="10"/>
      <c r="J62" s="10"/>
      <c r="K62" s="10"/>
      <c r="L62" s="10"/>
      <c r="M62" s="10"/>
      <c r="N62" s="10"/>
      <c r="V62" s="53"/>
      <c r="AA62" s="11">
        <f>RTD("cqg.rtd", ,"ContractData",AC62, "T_CVol")</f>
        <v>648</v>
      </c>
      <c r="AC62" s="11" t="str">
        <f>CLE!V8</f>
        <v>CLES1U</v>
      </c>
      <c r="AD62" s="11" t="e">
        <f>RTD("cqg.rtd",,"StudyData",AF62, "Vol", "VolType=auto,CoCType=Contract", "Vol","D","0","ALL",,,"TRUE","T")</f>
        <v>#REF!</v>
      </c>
      <c r="AF62" s="11" t="e">
        <f>#REF!</f>
        <v>#REF!</v>
      </c>
    </row>
    <row r="63" spans="1:34" s="25" customFormat="1" ht="20.100000000000001" customHeight="1" x14ac:dyDescent="0.3">
      <c r="A63" s="28"/>
      <c r="B63" s="1"/>
      <c r="C63" s="1"/>
      <c r="D63" s="1"/>
      <c r="E63" s="1"/>
      <c r="F63" s="10"/>
      <c r="G63" s="10"/>
      <c r="H63" s="10"/>
      <c r="I63" s="10"/>
      <c r="J63" s="10"/>
      <c r="K63" s="10"/>
      <c r="L63" s="10"/>
      <c r="M63" s="10"/>
      <c r="N63" s="10"/>
      <c r="O63" s="1"/>
      <c r="P63" s="10"/>
      <c r="Q63" s="1"/>
      <c r="R63" s="1"/>
      <c r="S63" s="1"/>
      <c r="T63" s="1"/>
      <c r="U63" s="1"/>
      <c r="V63" s="106"/>
      <c r="W63" s="106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</row>
    <row r="64" spans="1:34" ht="15.9" customHeight="1" x14ac:dyDescent="0.25">
      <c r="F64" s="10"/>
      <c r="G64" s="10"/>
      <c r="H64" s="10"/>
      <c r="I64" s="10"/>
      <c r="J64" s="10"/>
      <c r="K64" s="10"/>
      <c r="L64" s="10"/>
      <c r="M64" s="10"/>
      <c r="N64" s="10"/>
    </row>
    <row r="65" spans="6:14" ht="15.9" customHeight="1" x14ac:dyDescent="0.25">
      <c r="F65" s="10"/>
      <c r="G65" s="10"/>
      <c r="H65" s="10"/>
      <c r="I65" s="10"/>
      <c r="J65" s="10"/>
      <c r="K65" s="10"/>
      <c r="L65" s="10"/>
      <c r="M65" s="10"/>
      <c r="N65" s="10"/>
    </row>
    <row r="66" spans="6:14" ht="15" customHeight="1" x14ac:dyDescent="0.25">
      <c r="F66" s="10"/>
      <c r="G66" s="10"/>
      <c r="H66" s="10"/>
      <c r="I66" s="10"/>
      <c r="J66" s="10"/>
      <c r="K66" s="10"/>
      <c r="L66" s="10"/>
      <c r="M66" s="10"/>
      <c r="N66" s="10"/>
    </row>
    <row r="67" spans="6:14" x14ac:dyDescent="0.25">
      <c r="F67" s="10"/>
      <c r="G67" s="10"/>
      <c r="H67" s="10"/>
      <c r="I67" s="10"/>
      <c r="J67" s="10"/>
      <c r="K67" s="10"/>
      <c r="L67" s="10"/>
      <c r="M67" s="10"/>
      <c r="N67" s="10"/>
    </row>
    <row r="68" spans="6:14" x14ac:dyDescent="0.25">
      <c r="F68" s="10"/>
      <c r="G68" s="10"/>
      <c r="H68" s="10"/>
      <c r="I68" s="10"/>
      <c r="J68" s="10"/>
      <c r="K68" s="10"/>
      <c r="L68" s="10"/>
      <c r="M68" s="10"/>
      <c r="N68" s="10"/>
    </row>
  </sheetData>
  <sheetProtection algorithmName="SHA-512" hashValue="58B4gHRwxi3++coJh71LKyjzJ1sCtllhCEQFice3yyGl7fB9TRyAnH9+Tg4z+NvLqV6MMzQwfudqc7m/PG9s/A==" saltValue="+S9VCIiI4JOVWwCFFEga/A==" spinCount="100000" sheet="1" objects="1" scenarios="1" selectLockedCells="1" selectUnlockedCells="1"/>
  <mergeCells count="50">
    <mergeCell ref="T57:U57"/>
    <mergeCell ref="R3:T3"/>
    <mergeCell ref="Q57:R57"/>
    <mergeCell ref="I57:J57"/>
    <mergeCell ref="J4:U5"/>
    <mergeCell ref="J42:J44"/>
    <mergeCell ref="J13:J15"/>
    <mergeCell ref="H3:J3"/>
    <mergeCell ref="K3:M3"/>
    <mergeCell ref="B4:I5"/>
    <mergeCell ref="C9:C10"/>
    <mergeCell ref="D9:E10"/>
    <mergeCell ref="F9:G10"/>
    <mergeCell ref="H9:I10"/>
    <mergeCell ref="B7:B8"/>
    <mergeCell ref="C7:C8"/>
    <mergeCell ref="O57:P57"/>
    <mergeCell ref="M57:N57"/>
    <mergeCell ref="B57:D57"/>
    <mergeCell ref="G57:H57"/>
    <mergeCell ref="N3:Q3"/>
    <mergeCell ref="B3:D3"/>
    <mergeCell ref="E3:G3"/>
    <mergeCell ref="B9:B10"/>
    <mergeCell ref="D7:E8"/>
    <mergeCell ref="F7:I8"/>
    <mergeCell ref="B24:C24"/>
    <mergeCell ref="B40:C40"/>
    <mergeCell ref="B46:D46"/>
    <mergeCell ref="B43:D43"/>
    <mergeCell ref="B44:D44"/>
    <mergeCell ref="B45:D45"/>
    <mergeCell ref="B51:D51"/>
    <mergeCell ref="B52:D52"/>
    <mergeCell ref="B53:D53"/>
    <mergeCell ref="B25:I26"/>
    <mergeCell ref="J26:J28"/>
    <mergeCell ref="B41:I42"/>
    <mergeCell ref="B47:D47"/>
    <mergeCell ref="B48:D48"/>
    <mergeCell ref="B49:D49"/>
    <mergeCell ref="B50:D50"/>
    <mergeCell ref="C59:D59"/>
    <mergeCell ref="E55:F55"/>
    <mergeCell ref="G55:H55"/>
    <mergeCell ref="B54:C54"/>
    <mergeCell ref="C55:D55"/>
    <mergeCell ref="C56:D56"/>
    <mergeCell ref="F56:H56"/>
    <mergeCell ref="E57:F57"/>
  </mergeCells>
  <conditionalFormatting sqref="D58">
    <cfRule type="expression" dxfId="0" priority="93">
      <formula>#REF!&lt;0</formula>
    </cfRule>
  </conditionalFormatting>
  <conditionalFormatting sqref="D58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3">
    <cfRule type="colorScale" priority="27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3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I44:I53">
    <cfRule type="colorScale" priority="11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G28:G39">
    <cfRule type="colorScale" priority="4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8:H39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D58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H13:H23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H28:H39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6"/>
  <sheetViews>
    <sheetView topLeftCell="P12" workbookViewId="0">
      <selection activeCell="P12" sqref="A1:XFD1048576"/>
    </sheetView>
  </sheetViews>
  <sheetFormatPr defaultColWidth="9" defaultRowHeight="13.8" x14ac:dyDescent="0.25"/>
  <cols>
    <col min="1" max="17" width="9" style="108"/>
    <col min="18" max="18" width="14.3984375" style="108" customWidth="1"/>
    <col min="19" max="19" width="9" style="108"/>
    <col min="20" max="20" width="15.19921875" style="108" customWidth="1"/>
    <col min="21" max="21" width="17.69921875" style="108" customWidth="1"/>
    <col min="22" max="22" width="11.19921875" style="108" customWidth="1"/>
    <col min="23" max="23" width="40" style="108" customWidth="1"/>
    <col min="24" max="24" width="12.8984375" style="108" customWidth="1"/>
    <col min="25" max="16384" width="9" style="108"/>
  </cols>
  <sheetData>
    <row r="1" spans="1:38" x14ac:dyDescent="0.25">
      <c r="A1" s="107"/>
      <c r="B1" s="107"/>
      <c r="C1" s="107" t="s">
        <v>2</v>
      </c>
      <c r="D1" s="108">
        <v>1</v>
      </c>
      <c r="E1" s="108">
        <v>2</v>
      </c>
      <c r="F1" s="108">
        <v>3</v>
      </c>
      <c r="G1" s="108">
        <v>4</v>
      </c>
      <c r="H1" s="108">
        <v>5</v>
      </c>
      <c r="I1" s="108">
        <v>6</v>
      </c>
      <c r="J1" s="108">
        <v>7</v>
      </c>
      <c r="K1" s="108">
        <v>8</v>
      </c>
      <c r="L1" s="108">
        <v>9</v>
      </c>
      <c r="M1" s="108">
        <v>10</v>
      </c>
      <c r="N1" s="108">
        <v>11</v>
      </c>
      <c r="O1" s="108">
        <v>12</v>
      </c>
      <c r="P1" s="109"/>
      <c r="Q1" s="110" t="s">
        <v>18</v>
      </c>
      <c r="R1" s="111" t="s">
        <v>3</v>
      </c>
      <c r="S1" s="111" t="s">
        <v>0</v>
      </c>
      <c r="T1" s="111" t="s">
        <v>1</v>
      </c>
      <c r="U1" s="109" t="s">
        <v>4</v>
      </c>
      <c r="V1" s="109"/>
      <c r="W1" s="111" t="s">
        <v>3</v>
      </c>
      <c r="X1" s="109" t="s">
        <v>4</v>
      </c>
      <c r="Y1" s="111" t="s">
        <v>0</v>
      </c>
      <c r="Z1" s="111" t="s">
        <v>1</v>
      </c>
      <c r="AA1" s="109" t="s">
        <v>5</v>
      </c>
      <c r="AB1" s="109" t="s">
        <v>5</v>
      </c>
      <c r="AC1" s="112"/>
      <c r="AD1" s="109" t="s">
        <v>5</v>
      </c>
    </row>
    <row r="2" spans="1:38" x14ac:dyDescent="0.25">
      <c r="A2" s="107" t="str">
        <f>Q2</f>
        <v>CLEH5</v>
      </c>
      <c r="B2" s="107" t="str">
        <f>RTD("cqg.rtd", ,"ContractData",A2, "ContractMonth")</f>
        <v>MAR</v>
      </c>
      <c r="C2" s="113" t="str">
        <f>IF(B2="Jan","F",IF(B2="Feb","G",IF(B2="Mar","H",IF(B2="Apr","J",IF(B2="May","K",IF(B2="JUN","M",IF(B2="Jul","N",IF(B2="Aug","Q",IF(B2="Sep","U",IF(B2="Oct","V",IF(B2="Nov","X",IF(B2="Dec","Z"))))))))))))</f>
        <v>H</v>
      </c>
      <c r="D2" s="108" t="str">
        <f>$Q$1&amp;$C$1&amp;$D$1&amp;$C2</f>
        <v>CLES1H</v>
      </c>
      <c r="E2" s="108" t="str">
        <f>$Q$1&amp;$C$1&amp;$D$1&amp;$C3</f>
        <v>CLES1J</v>
      </c>
      <c r="F2" s="108" t="str">
        <f>$Q$1&amp;$C$1&amp;$D$1&amp;$C4</f>
        <v>CLES1K</v>
      </c>
      <c r="G2" s="108" t="str">
        <f>$Q$1&amp;$C$1&amp;$D$1&amp;$C5</f>
        <v>CLES1M</v>
      </c>
      <c r="H2" s="108" t="str">
        <f>$Q$1&amp;$C$1&amp;$D$1&amp;$C6</f>
        <v>CLES1N</v>
      </c>
      <c r="I2" s="108" t="str">
        <f>$Q$1&amp;$C$1&amp;$D$1&amp;$C7</f>
        <v>CLES1Q</v>
      </c>
      <c r="J2" s="108" t="str">
        <f>$Q$1&amp;$C$1&amp;$D$1&amp;$C8</f>
        <v>CLES1U</v>
      </c>
      <c r="K2" s="108" t="str">
        <f>$Q$1&amp;$C$1&amp;$D$1&amp;$C9</f>
        <v>CLES1V</v>
      </c>
      <c r="L2" s="108" t="str">
        <f>$Q$1&amp;$C$1&amp;$D$1&amp;$C10</f>
        <v>CLES1X</v>
      </c>
      <c r="M2" s="108" t="str">
        <f>$Q$1&amp;$C$1&amp;$D$1&amp;$C11</f>
        <v>CLES1Z</v>
      </c>
      <c r="N2" s="108" t="str">
        <f>$Q$1&amp;$C$1&amp;$D$1&amp;$C12</f>
        <v>CLES1F</v>
      </c>
      <c r="O2" s="108" t="str">
        <f>$Q$1&amp;$C$1&amp;$D$1&amp;$C13</f>
        <v>CLES1G</v>
      </c>
      <c r="P2" s="109" t="str">
        <f>LEFT(RIGHT(Q2,2),1)</f>
        <v>H</v>
      </c>
      <c r="Q2" s="114" t="str">
        <f>RTD("cqg.rtd", ,"ContractData", $Q$1&amp;"?"&amp;R35, "Symbol")</f>
        <v>CLEH5</v>
      </c>
      <c r="R2" s="112">
        <f>RTD("cqg.rtd", ,"ContractData", Q2, $R$1,,"T")</f>
        <v>48.76</v>
      </c>
      <c r="S2" s="112">
        <f>RTD("cqg.rtd", ,"ContractData", Q2,$S$1,,"T")</f>
        <v>48.76</v>
      </c>
      <c r="T2" s="112">
        <f>RTD("cqg.rtd", ,"ContractData", Q2,$T$1,,"T")</f>
        <v>48.78</v>
      </c>
      <c r="U2" s="112">
        <f>RTD("cqg.rtd", ,"ContractData", "F."&amp;$Q$1&amp;"?1", $U$1,,"T")</f>
        <v>2.1000000000000014</v>
      </c>
      <c r="V2" s="109" t="str">
        <f>D2</f>
        <v>CLES1H</v>
      </c>
      <c r="W2" s="112">
        <f>RTD("cqg.rtd", ,"ContractData", V2, $W$1,,"T")</f>
        <v>-0.63</v>
      </c>
      <c r="X2" s="112">
        <f>RTD("cqg.rtd", ,"ContractData", V2, $X$1,,"T")</f>
        <v>0.10999999999999999</v>
      </c>
      <c r="Y2" s="112">
        <f>RTD("cqg.rtd", ,"ContractData",V2,$Y$1,,"T")</f>
        <v>-0.64</v>
      </c>
      <c r="Z2" s="112">
        <f>RTD("cqg.rtd", ,"ContractData", V2,$Z$1,,"T")</f>
        <v>-0.63</v>
      </c>
      <c r="AA2" s="112">
        <f>IF(OR(W2="",W2&lt;Y2,W2&gt;Z2),(Y2+Z2)/2,W2)</f>
        <v>-0.63</v>
      </c>
      <c r="AB2" s="112">
        <f t="shared" ref="AB2:AB7" si="0">IF(OR(S2="",T2=""),R2,(IF(OR(R2="",R2&lt;S2,R2&gt;T2),(S2+T2)/2,R2)))</f>
        <v>48.76</v>
      </c>
      <c r="AC2" s="112">
        <f>IF(OR(R2="",R2&lt;S2,R2&gt;T2),(S2+T2)/2,R2)</f>
        <v>48.76</v>
      </c>
      <c r="AD2" s="112">
        <f>IF(OR(Y2="",Z2=""),W2,(IF(OR(W2="",W2&lt;Y2,W2&gt;Z2),(Y2+Z2)/2,W2)))</f>
        <v>-0.63</v>
      </c>
      <c r="AF2" s="108">
        <f>IF(ISERROR(AC2),NA(),AC2)</f>
        <v>48.76</v>
      </c>
      <c r="AG2" s="108">
        <f>IF(AD2="",NA(),AD2)</f>
        <v>-0.63</v>
      </c>
      <c r="AH2" s="108" t="str">
        <f>IF(P2="F","JAN",IF(P2="G","FEB",IF(P2="H","MAR",IF(P2="J","APR",IF(P2="K","MAY",IF(P2="M","JUN",IF(P2="N","JUL",IF(P2="Q","AUG",IF(P2="U","SEP",IF(P2="V","OCT",IF(P2="X","NOV",IF(P2="Z","DEC",))))))))))))</f>
        <v>MAR</v>
      </c>
      <c r="AI2" s="108" t="str">
        <f>$AH$2&amp;", "&amp;AH3</f>
        <v>MAR, APR</v>
      </c>
      <c r="AJ2" s="108">
        <f>RTD("cqg.rtd", ,"ContractData",Q2, "Settlement",,"T")</f>
        <v>49.13</v>
      </c>
      <c r="AK2" s="108">
        <f>RTD("cqg.rtd", ,"ContractData",V2, "Settlement",,"T")</f>
        <v>-0.71</v>
      </c>
      <c r="AL2" s="108">
        <f>IF(AJ2="",NA(),AJ2)</f>
        <v>49.13</v>
      </c>
    </row>
    <row r="3" spans="1:38" x14ac:dyDescent="0.25">
      <c r="A3" s="107" t="str">
        <f t="shared" ref="A3:A13" si="1">Q3</f>
        <v>CLEJ5</v>
      </c>
      <c r="B3" s="107" t="str">
        <f>RTD("cqg.rtd", ,"ContractData",A3, "ContractMonth")</f>
        <v>APR</v>
      </c>
      <c r="C3" s="113" t="str">
        <f t="shared" ref="C3:C13" si="2">IF(B3="Jan","F",IF(B3="Feb","G",IF(B3="Mar","H",IF(B3="Apr","J",IF(B3="May","K",IF(B3="JUN","M",IF(B3="Jul","N",IF(B3="Aug","Q",IF(B3="Sep","U",IF(B3="Oct","V",IF(B3="Nov","X",IF(B3="Dec","Z"))))))))))))</f>
        <v>J</v>
      </c>
      <c r="D3" s="108" t="str">
        <f t="shared" ref="D3:D13" si="3">$Q$1&amp;$C$1&amp;$D$1&amp;$C3</f>
        <v>CLES1J</v>
      </c>
      <c r="P3" s="109" t="str">
        <f t="shared" ref="P3:P13" si="4">LEFT(RIGHT(Q3,2),1)</f>
        <v>J</v>
      </c>
      <c r="Q3" s="114" t="str">
        <f>RTD("cqg.rtd", ,"ContractData", $Q$1&amp;"?"&amp;R36, "Symbol")</f>
        <v>CLEJ5</v>
      </c>
      <c r="R3" s="112">
        <f>RTD("cqg.rtd", ,"ContractData", Q3, $R$1,,"T")</f>
        <v>49.44</v>
      </c>
      <c r="S3" s="112">
        <f>RTD("cqg.rtd", ,"ContractData", Q3,$S$1,,"T")</f>
        <v>49.39</v>
      </c>
      <c r="T3" s="112">
        <f>RTD("cqg.rtd", ,"ContractData", Q3,$T$1,,"T")</f>
        <v>49.42</v>
      </c>
      <c r="U3" s="112">
        <f>RTD("cqg.rtd", ,"ContractData", "F."&amp;$Q$1&amp;"?2",  $U$1,,"T")</f>
        <v>2.029999999999994</v>
      </c>
      <c r="V3" s="109" t="str">
        <f>E2</f>
        <v>CLES1J</v>
      </c>
      <c r="W3" s="112">
        <f>RTD("cqg.rtd", ,"ContractData", V3, $W$1,,"T")</f>
        <v>-0.74</v>
      </c>
      <c r="X3" s="112">
        <f>RTD("cqg.rtd", ,"ContractData", V3, $X$1,,"T")</f>
        <v>9.000000000000008E-2</v>
      </c>
      <c r="Y3" s="112">
        <f>RTD("cqg.rtd", ,"ContractData",V3,$Y$1,,"T")</f>
        <v>-0.75</v>
      </c>
      <c r="Z3" s="112">
        <f>RTD("cqg.rtd", ,"ContractData", V3,$Z$1,,"T")</f>
        <v>-0.74</v>
      </c>
      <c r="AA3" s="112">
        <f t="shared" ref="AA3:AA13" si="5">IF(OR(W3="",W3&lt;Y3,W3&gt;Z3),(Y3+Z3)/2,W3)</f>
        <v>-0.74</v>
      </c>
      <c r="AB3" s="112">
        <f t="shared" si="0"/>
        <v>49.405000000000001</v>
      </c>
      <c r="AC3" s="112">
        <f>IF(OR(R3="",R3&lt;S3,R3&gt;T3),(S3+T3)/2,R3)</f>
        <v>49.405000000000001</v>
      </c>
      <c r="AD3" s="112">
        <f t="shared" ref="AD3:AD13" si="6">IF(OR(Y3="",Z3=""),W3,(IF(OR(W3="",W3&lt;Y3,W3&gt;Z3),(Y3+Z3)/2,W3)))</f>
        <v>-0.74</v>
      </c>
      <c r="AF3" s="108">
        <f t="shared" ref="AF3:AF13" si="7">IF(ISERROR(AC3),NA(),AC3)</f>
        <v>49.405000000000001</v>
      </c>
      <c r="AG3" s="108">
        <f>IF(AD3="",NA(),AD3)</f>
        <v>-0.74</v>
      </c>
      <c r="AH3" s="108" t="str">
        <f t="shared" ref="AH3:AH13" si="8">IF(P3="F","JAN",IF(P3="G","FEB",IF(P3="H","MAR",IF(P3="J","APR",IF(P3="K","MAY",IF(P3="M","JUN",IF(P3="N","JUL",IF(P3="Q","AUG",IF(P3="U","SEP",IF(P3="V","OCT",IF(P3="X","NOV",IF(P3="Z","DEC",))))))))))))</f>
        <v>APR</v>
      </c>
      <c r="AI3" s="108" t="str">
        <f>$AH$3&amp;", "&amp;AH4</f>
        <v>APR, MAY</v>
      </c>
      <c r="AJ3" s="108">
        <f>RTD("cqg.rtd", ,"ContractData",Q3, "Settlement",,"T")</f>
        <v>49.84</v>
      </c>
      <c r="AK3" s="108">
        <f>RTD("cqg.rtd", ,"ContractData",V3, "Settlement",,"T")</f>
        <v>-0.78</v>
      </c>
      <c r="AL3" s="108">
        <f t="shared" ref="AL3:AL13" si="9">IF(AJ3="",NA(),AJ3)</f>
        <v>49.84</v>
      </c>
    </row>
    <row r="4" spans="1:38" x14ac:dyDescent="0.25">
      <c r="A4" s="107" t="str">
        <f t="shared" si="1"/>
        <v>CLEK5</v>
      </c>
      <c r="B4" s="107" t="str">
        <f>RTD("cqg.rtd", ,"ContractData",A4, "ContractMonth")</f>
        <v>MAY</v>
      </c>
      <c r="C4" s="113" t="str">
        <f t="shared" si="2"/>
        <v>K</v>
      </c>
      <c r="D4" s="108" t="str">
        <f t="shared" si="3"/>
        <v>CLES1K</v>
      </c>
      <c r="P4" s="109" t="str">
        <f t="shared" si="4"/>
        <v>K</v>
      </c>
      <c r="Q4" s="114" t="str">
        <f>RTD("cqg.rtd", ,"ContractData", $Q$1&amp;"?"&amp;R37, "Symbol")</f>
        <v>CLEK5</v>
      </c>
      <c r="R4" s="112">
        <f>RTD("cqg.rtd", ,"ContractData", Q4, $R$1,,"T")</f>
        <v>50.22</v>
      </c>
      <c r="S4" s="112">
        <f>RTD("cqg.rtd", ,"ContractData", Q4,$S$1,,"T")</f>
        <v>50.13</v>
      </c>
      <c r="T4" s="112">
        <f>RTD("cqg.rtd", ,"ContractData", Q4,$T$1,,"T")</f>
        <v>50.17</v>
      </c>
      <c r="U4" s="112">
        <f>RTD("cqg.rtd", ,"ContractData", "F."&amp;$Q$1&amp;"?3",  $U$1,,"T")</f>
        <v>1.9500000000000028</v>
      </c>
      <c r="V4" s="109" t="str">
        <f>F2</f>
        <v>CLES1K</v>
      </c>
      <c r="W4" s="112">
        <f>RTD("cqg.rtd", ,"ContractData", V4, $W$1,,"T")</f>
        <v>-0.74</v>
      </c>
      <c r="X4" s="112">
        <f>RTD("cqg.rtd", ,"ContractData", V4, $X$1,,"T")</f>
        <v>5.0000000000000044E-2</v>
      </c>
      <c r="Y4" s="112">
        <f>RTD("cqg.rtd", ,"ContractData",V4,$Y$1,,"T")</f>
        <v>-0.75</v>
      </c>
      <c r="Z4" s="112">
        <f>RTD("cqg.rtd", ,"ContractData", V4,$Z$1,,"T")</f>
        <v>-0.73</v>
      </c>
      <c r="AA4" s="112">
        <f t="shared" si="5"/>
        <v>-0.74</v>
      </c>
      <c r="AB4" s="112">
        <f t="shared" si="0"/>
        <v>50.150000000000006</v>
      </c>
      <c r="AC4" s="112">
        <f t="shared" ref="AC4:AC13" si="10">IF(OR(R4="",R4&lt;S4,R4&gt;T4),(S4+T4)/2,R4)</f>
        <v>50.150000000000006</v>
      </c>
      <c r="AD4" s="112">
        <f t="shared" si="6"/>
        <v>-0.74</v>
      </c>
      <c r="AF4" s="108">
        <f t="shared" si="7"/>
        <v>50.150000000000006</v>
      </c>
      <c r="AG4" s="108">
        <f>IF(AD4="",NA(),AD4)</f>
        <v>-0.74</v>
      </c>
      <c r="AH4" s="108" t="str">
        <f t="shared" si="8"/>
        <v>MAY</v>
      </c>
      <c r="AI4" s="108" t="str">
        <f>$AH$4&amp;", "&amp;AH5</f>
        <v>MAY, JUN</v>
      </c>
      <c r="AJ4" s="108">
        <f>RTD("cqg.rtd", ,"ContractData",Q4, "Settlement",,"T")</f>
        <v>50.620000000000005</v>
      </c>
      <c r="AK4" s="108">
        <f>RTD("cqg.rtd", ,"ContractData",V4, "Settlement",,"T")</f>
        <v>-0.75</v>
      </c>
      <c r="AL4" s="108">
        <f t="shared" si="9"/>
        <v>50.620000000000005</v>
      </c>
    </row>
    <row r="5" spans="1:38" x14ac:dyDescent="0.25">
      <c r="A5" s="107" t="str">
        <f t="shared" si="1"/>
        <v>CLEM5</v>
      </c>
      <c r="B5" s="107" t="str">
        <f>RTD("cqg.rtd", ,"ContractData",A5, "ContractMonth")</f>
        <v>JUN</v>
      </c>
      <c r="C5" s="113" t="str">
        <f t="shared" si="2"/>
        <v>M</v>
      </c>
      <c r="D5" s="108" t="str">
        <f t="shared" si="3"/>
        <v>CLES1M</v>
      </c>
      <c r="P5" s="109" t="str">
        <f t="shared" si="4"/>
        <v>M</v>
      </c>
      <c r="Q5" s="114" t="str">
        <f>RTD("cqg.rtd", ,"ContractData", $Q$1&amp;"?"&amp;R38, "Symbol")</f>
        <v>CLEM5</v>
      </c>
      <c r="R5" s="112">
        <f>RTD("cqg.rtd", ,"ContractData", Q5, $R$1,,"T")</f>
        <v>50.89</v>
      </c>
      <c r="S5" s="112">
        <f>RTD("cqg.rtd", ,"ContractData", Q5,$S$1,,"T")</f>
        <v>50.88</v>
      </c>
      <c r="T5" s="112">
        <f>RTD("cqg.rtd", ,"ContractData", Q5,$T$1,,"T")</f>
        <v>50.910000000000004</v>
      </c>
      <c r="U5" s="112">
        <f>RTD("cqg.rtd", ,"ContractData", "F."&amp;$Q$1&amp;"?4",  $U$1,,"T")</f>
        <v>1.8699999999999974</v>
      </c>
      <c r="V5" s="109" t="str">
        <f>G2</f>
        <v>CLES1M</v>
      </c>
      <c r="W5" s="112">
        <f>RTD("cqg.rtd", ,"ContractData", V5, $W$1,,"T")</f>
        <v>-0.70000000000000007</v>
      </c>
      <c r="X5" s="112">
        <f>RTD("cqg.rtd", ,"ContractData", V5, $X$1,,"T")</f>
        <v>4.9999999999999933E-2</v>
      </c>
      <c r="Y5" s="112">
        <f>RTD("cqg.rtd", ,"ContractData",V5,$Y$1,,"T")</f>
        <v>-0.71</v>
      </c>
      <c r="Z5" s="112">
        <f>RTD("cqg.rtd", ,"ContractData", V5,$Z$1,,"T")</f>
        <v>-0.70000000000000007</v>
      </c>
      <c r="AA5" s="112">
        <f t="shared" si="5"/>
        <v>-0.70000000000000007</v>
      </c>
      <c r="AB5" s="112">
        <f t="shared" si="0"/>
        <v>50.89</v>
      </c>
      <c r="AC5" s="112">
        <f t="shared" si="10"/>
        <v>50.89</v>
      </c>
      <c r="AD5" s="112">
        <f t="shared" si="6"/>
        <v>-0.70000000000000007</v>
      </c>
      <c r="AF5" s="108">
        <f t="shared" si="7"/>
        <v>50.89</v>
      </c>
      <c r="AG5" s="108">
        <f t="shared" ref="AG5:AG13" si="11">IF(AD5="",NA(),AD5)</f>
        <v>-0.70000000000000007</v>
      </c>
      <c r="AH5" s="108" t="str">
        <f t="shared" si="8"/>
        <v>JUN</v>
      </c>
      <c r="AI5" s="108" t="str">
        <f>$AH$5&amp;", "&amp;AH6</f>
        <v>JUN, JUL</v>
      </c>
      <c r="AJ5" s="108">
        <f>RTD("cqg.rtd", ,"ContractData",Q5, "Settlement",,"T")</f>
        <v>51.370000000000005</v>
      </c>
      <c r="AK5" s="108">
        <f>RTD("cqg.rtd", ,"ContractData",V5, "Settlement",,"T")</f>
        <v>-0.72</v>
      </c>
      <c r="AL5" s="108">
        <f t="shared" si="9"/>
        <v>51.370000000000005</v>
      </c>
    </row>
    <row r="6" spans="1:38" x14ac:dyDescent="0.25">
      <c r="A6" s="107" t="str">
        <f t="shared" si="1"/>
        <v>CLEN5</v>
      </c>
      <c r="B6" s="107" t="str">
        <f>RTD("cqg.rtd", ,"ContractData",A6, "ContractMonth")</f>
        <v>JUL</v>
      </c>
      <c r="C6" s="113" t="str">
        <f t="shared" si="2"/>
        <v>N</v>
      </c>
      <c r="D6" s="108" t="str">
        <f t="shared" si="3"/>
        <v>CLES1N</v>
      </c>
      <c r="P6" s="109" t="str">
        <f t="shared" si="4"/>
        <v>N</v>
      </c>
      <c r="Q6" s="114" t="str">
        <f>RTD("cqg.rtd", ,"ContractData", $Q$1&amp;"?"&amp;R39, "Symbol")</f>
        <v>CLEN5</v>
      </c>
      <c r="R6" s="112">
        <f>RTD("cqg.rtd", ,"ContractData", Q6, $R$1,,"T")</f>
        <v>51.71</v>
      </c>
      <c r="S6" s="112">
        <f>RTD("cqg.rtd", ,"ContractData", Q6,$S$1,,"T")</f>
        <v>51.58</v>
      </c>
      <c r="T6" s="112">
        <f>RTD("cqg.rtd", ,"ContractData", Q6,$T$1,,"T")</f>
        <v>51.620000000000005</v>
      </c>
      <c r="U6" s="112">
        <f>RTD("cqg.rtd", ,"ContractData", "F."&amp;$Q$1&amp;"?5",  $U$1,,"T")</f>
        <v>1.8100000000000023</v>
      </c>
      <c r="V6" s="109" t="str">
        <f>H2</f>
        <v>CLES1N</v>
      </c>
      <c r="W6" s="112">
        <f>RTD("cqg.rtd", ,"ContractData", V6, $W$1,,"T")</f>
        <v>-0.65</v>
      </c>
      <c r="X6" s="112">
        <f>RTD("cqg.rtd", ,"ContractData", V6, $X$1,,"T")</f>
        <v>6.9999999999999951E-2</v>
      </c>
      <c r="Y6" s="112">
        <f>RTD("cqg.rtd", ,"ContractData",V6,$Y$1,,"T")</f>
        <v>-0.66</v>
      </c>
      <c r="Z6" s="112">
        <f>RTD("cqg.rtd", ,"ContractData", V6,$Z$1,,"T")</f>
        <v>-0.65</v>
      </c>
      <c r="AA6" s="112">
        <f t="shared" si="5"/>
        <v>-0.65</v>
      </c>
      <c r="AB6" s="112">
        <f t="shared" si="0"/>
        <v>51.6</v>
      </c>
      <c r="AC6" s="112">
        <f t="shared" si="10"/>
        <v>51.6</v>
      </c>
      <c r="AD6" s="112">
        <f t="shared" si="6"/>
        <v>-0.65</v>
      </c>
      <c r="AF6" s="108">
        <f t="shared" si="7"/>
        <v>51.6</v>
      </c>
      <c r="AG6" s="108">
        <f t="shared" si="11"/>
        <v>-0.65</v>
      </c>
      <c r="AH6" s="108" t="str">
        <f t="shared" si="8"/>
        <v>JUL</v>
      </c>
      <c r="AI6" s="108" t="str">
        <f>$AH$6&amp;", "&amp;AH7</f>
        <v>JUL, AUG</v>
      </c>
      <c r="AJ6" s="108">
        <f>RTD("cqg.rtd", ,"ContractData",Q6, "Settlement",,"T")</f>
        <v>52.09</v>
      </c>
      <c r="AK6" s="108">
        <f>RTD("cqg.rtd", ,"ContractData",V6, "Settlement",,"T")</f>
        <v>-0.67</v>
      </c>
      <c r="AL6" s="108">
        <f t="shared" si="9"/>
        <v>52.09</v>
      </c>
    </row>
    <row r="7" spans="1:38" x14ac:dyDescent="0.25">
      <c r="A7" s="107" t="str">
        <f t="shared" si="1"/>
        <v>CLEQ5</v>
      </c>
      <c r="B7" s="107" t="str">
        <f>RTD("cqg.rtd", ,"ContractData",A7, "ContractMonth")</f>
        <v>AUG</v>
      </c>
      <c r="C7" s="113" t="str">
        <f t="shared" si="2"/>
        <v>Q</v>
      </c>
      <c r="D7" s="108" t="str">
        <f t="shared" si="3"/>
        <v>CLES1Q</v>
      </c>
      <c r="P7" s="109" t="str">
        <f t="shared" si="4"/>
        <v>Q</v>
      </c>
      <c r="Q7" s="114" t="str">
        <f>RTD("cqg.rtd", ,"ContractData", $Q$1&amp;"?"&amp;R40, "Symbol")</f>
        <v>CLEQ5</v>
      </c>
      <c r="R7" s="112">
        <f>RTD("cqg.rtd", ,"ContractData", Q7, $R$1,,"T")</f>
        <v>52.4</v>
      </c>
      <c r="S7" s="112">
        <f>RTD("cqg.rtd", ,"ContractData", Q7,$S$1,,"T")</f>
        <v>52.22</v>
      </c>
      <c r="T7" s="112">
        <f>RTD("cqg.rtd", ,"ContractData", Q7,$T$1,,"T")</f>
        <v>52.27</v>
      </c>
      <c r="U7" s="112">
        <f>RTD("cqg.rtd", ,"ContractData", "F."&amp;$Q$1&amp;"?6", $U$1,,"T")</f>
        <v>1.7299999999999969</v>
      </c>
      <c r="V7" s="109" t="str">
        <f>I2</f>
        <v>CLES1Q</v>
      </c>
      <c r="W7" s="112">
        <f>RTD("cqg.rtd", ,"ContractData", V7, $W$1,,"T")</f>
        <v>-0.65</v>
      </c>
      <c r="X7" s="112">
        <f>RTD("cqg.rtd", ,"ContractData", V7, $X$1,,"T")</f>
        <v>7.999999999999996E-2</v>
      </c>
      <c r="Y7" s="112">
        <f>RTD("cqg.rtd", ,"ContractData",V7,$Y$1,,"T")</f>
        <v>-0.64</v>
      </c>
      <c r="Z7" s="112">
        <f>RTD("cqg.rtd", ,"ContractData", V7,$Z$1,,"T")</f>
        <v>-0.63</v>
      </c>
      <c r="AA7" s="112">
        <f t="shared" si="5"/>
        <v>-0.63500000000000001</v>
      </c>
      <c r="AB7" s="112">
        <f t="shared" si="0"/>
        <v>52.245000000000005</v>
      </c>
      <c r="AC7" s="112">
        <f t="shared" si="10"/>
        <v>52.245000000000005</v>
      </c>
      <c r="AD7" s="112">
        <f t="shared" si="6"/>
        <v>-0.63500000000000001</v>
      </c>
      <c r="AF7" s="108">
        <f t="shared" si="7"/>
        <v>52.245000000000005</v>
      </c>
      <c r="AG7" s="108">
        <f t="shared" si="11"/>
        <v>-0.63500000000000001</v>
      </c>
      <c r="AH7" s="108" t="str">
        <f t="shared" si="8"/>
        <v>AUG</v>
      </c>
      <c r="AI7" s="108" t="str">
        <f>$AH$7&amp;", "&amp;AH8</f>
        <v>AUG, SEP</v>
      </c>
      <c r="AJ7" s="108">
        <f>RTD("cqg.rtd", ,"ContractData",Q7, "Settlement",,"T")</f>
        <v>52.76</v>
      </c>
      <c r="AK7" s="108">
        <f>RTD("cqg.rtd", ,"ContractData",V7, "Settlement",,"T")</f>
        <v>-0.65</v>
      </c>
      <c r="AL7" s="108">
        <f t="shared" si="9"/>
        <v>52.76</v>
      </c>
    </row>
    <row r="8" spans="1:38" x14ac:dyDescent="0.25">
      <c r="A8" s="107" t="str">
        <f t="shared" si="1"/>
        <v>CLEU5</v>
      </c>
      <c r="B8" s="107" t="str">
        <f>RTD("cqg.rtd", ,"ContractData",A8, "ContractMonth")</f>
        <v>SEP</v>
      </c>
      <c r="C8" s="113" t="str">
        <f t="shared" si="2"/>
        <v>U</v>
      </c>
      <c r="D8" s="108" t="str">
        <f t="shared" si="3"/>
        <v>CLES1U</v>
      </c>
      <c r="P8" s="109" t="str">
        <f t="shared" si="4"/>
        <v>U</v>
      </c>
      <c r="Q8" s="114" t="str">
        <f>RTD("cqg.rtd", ,"ContractData", $Q$1&amp;"?"&amp;R41, "Symbol")</f>
        <v>CLEU5</v>
      </c>
      <c r="R8" s="112">
        <f>RTD("cqg.rtd", ,"ContractData", Q8, $R$1,,"T")</f>
        <v>53.13</v>
      </c>
      <c r="S8" s="112">
        <f>RTD("cqg.rtd", ,"ContractData", Q8,$S$1,,"T")</f>
        <v>52.86</v>
      </c>
      <c r="T8" s="112">
        <f>RTD("cqg.rtd", ,"ContractData", Q8,$T$1,,"T")</f>
        <v>52.92</v>
      </c>
      <c r="U8" s="112">
        <f>RTD("cqg.rtd", ,"ContractData", "F."&amp;$Q$1&amp;"?7", $U$1,,"T")</f>
        <v>1.6499999999999986</v>
      </c>
      <c r="V8" s="109" t="str">
        <f>J2</f>
        <v>CLES1U</v>
      </c>
      <c r="W8" s="112">
        <f>RTD("cqg.rtd", ,"ContractData", V8, $W$1,,"T")</f>
        <v>-0.59</v>
      </c>
      <c r="X8" s="112">
        <f>RTD("cqg.rtd", ,"ContractData", V8, $X$1,,"T")</f>
        <v>8.0000000000000071E-2</v>
      </c>
      <c r="Y8" s="112">
        <f>RTD("cqg.rtd", ,"ContractData",V8,$Y$1,,"T")</f>
        <v>-0.59</v>
      </c>
      <c r="Z8" s="112">
        <f>RTD("cqg.rtd", ,"ContractData", V8,$Z$1,,"T")</f>
        <v>-0.57000000000000006</v>
      </c>
      <c r="AA8" s="112">
        <f t="shared" si="5"/>
        <v>-0.59</v>
      </c>
      <c r="AB8" s="112">
        <f t="shared" ref="AB8:AB13" si="12">IF(OR(S8="",T8=""),R8,(IF(OR(R8="",R8&lt;S8,R8&gt;T8),(S8+T8)/2,R8)))</f>
        <v>52.89</v>
      </c>
      <c r="AC8" s="112">
        <f t="shared" si="10"/>
        <v>52.89</v>
      </c>
      <c r="AD8" s="112">
        <f t="shared" si="6"/>
        <v>-0.59</v>
      </c>
      <c r="AF8" s="108">
        <f t="shared" si="7"/>
        <v>52.89</v>
      </c>
      <c r="AG8" s="108">
        <f t="shared" si="11"/>
        <v>-0.59</v>
      </c>
      <c r="AH8" s="108" t="str">
        <f t="shared" si="8"/>
        <v>SEP</v>
      </c>
      <c r="AI8" s="108" t="str">
        <f>$AH$8&amp;", "&amp;AH9</f>
        <v>SEP, OCT</v>
      </c>
      <c r="AJ8" s="108">
        <f>RTD("cqg.rtd", ,"ContractData",Q8, "Settlement",,"T")</f>
        <v>53.410000000000004</v>
      </c>
      <c r="AK8" s="108">
        <f>RTD("cqg.rtd", ,"ContractData",V8, "Settlement",,"T")</f>
        <v>-0.57999999999999996</v>
      </c>
      <c r="AL8" s="108">
        <f t="shared" si="9"/>
        <v>53.410000000000004</v>
      </c>
    </row>
    <row r="9" spans="1:38" x14ac:dyDescent="0.25">
      <c r="A9" s="107" t="str">
        <f t="shared" si="1"/>
        <v>CLEV5</v>
      </c>
      <c r="B9" s="107" t="str">
        <f>RTD("cqg.rtd", ,"ContractData",A9, "ContractMonth")</f>
        <v>OCT</v>
      </c>
      <c r="C9" s="113" t="str">
        <f t="shared" si="2"/>
        <v>V</v>
      </c>
      <c r="D9" s="108" t="str">
        <f t="shared" si="3"/>
        <v>CLES1V</v>
      </c>
      <c r="P9" s="109" t="str">
        <f t="shared" si="4"/>
        <v>V</v>
      </c>
      <c r="Q9" s="114" t="str">
        <f>RTD("cqg.rtd", ,"ContractData", $Q$1&amp;"?"&amp;R42, "Symbol")</f>
        <v>CLEV5</v>
      </c>
      <c r="R9" s="112">
        <f>RTD("cqg.rtd", ,"ContractData", Q9, $R$1,,"T")</f>
        <v>53.69</v>
      </c>
      <c r="S9" s="112">
        <f>RTD("cqg.rtd", ,"ContractData", Q9,$S$1,,"T")</f>
        <v>53.44</v>
      </c>
      <c r="T9" s="112">
        <f>RTD("cqg.rtd", ,"ContractData", Q9,$T$1,,"T")</f>
        <v>53.63</v>
      </c>
      <c r="U9" s="112">
        <f>RTD("cqg.rtd", ,"ContractData", "F."&amp;$Q$1&amp;"?8", $U$1,,"T")</f>
        <v>1.5700000000000003</v>
      </c>
      <c r="V9" s="109" t="str">
        <f>K2</f>
        <v>CLES1V</v>
      </c>
      <c r="W9" s="112">
        <f>RTD("cqg.rtd", ,"ContractData", V9, $W$1,,"T")</f>
        <v>-0.57999999999999996</v>
      </c>
      <c r="X9" s="112">
        <f>RTD("cqg.rtd", ,"ContractData", V9, $X$1,,"T")</f>
        <v>8.0000000000000071E-2</v>
      </c>
      <c r="Y9" s="112">
        <f>RTD("cqg.rtd", ,"ContractData",V9,$Y$1,,"T")</f>
        <v>-0.57999999999999996</v>
      </c>
      <c r="Z9" s="112">
        <f>RTD("cqg.rtd", ,"ContractData", V9,$Z$1,,"T")</f>
        <v>-0.56000000000000005</v>
      </c>
      <c r="AA9" s="112">
        <f t="shared" si="5"/>
        <v>-0.57999999999999996</v>
      </c>
      <c r="AB9" s="112">
        <f t="shared" si="12"/>
        <v>53.534999999999997</v>
      </c>
      <c r="AC9" s="112">
        <f t="shared" si="10"/>
        <v>53.534999999999997</v>
      </c>
      <c r="AD9" s="112">
        <f t="shared" si="6"/>
        <v>-0.57999999999999996</v>
      </c>
      <c r="AF9" s="108">
        <f t="shared" si="7"/>
        <v>53.534999999999997</v>
      </c>
      <c r="AG9" s="108">
        <f t="shared" si="11"/>
        <v>-0.57999999999999996</v>
      </c>
      <c r="AH9" s="108" t="str">
        <f t="shared" si="8"/>
        <v>OCT</v>
      </c>
      <c r="AI9" s="108" t="str">
        <f>$AH$9&amp;", "&amp;AH10</f>
        <v>OCT, NOV</v>
      </c>
      <c r="AJ9" s="108">
        <f>RTD("cqg.rtd", ,"ContractData",Q9, "Settlement",,"T")</f>
        <v>53.99</v>
      </c>
      <c r="AK9" s="108">
        <f>RTD("cqg.rtd", ,"ContractData",V9, "Settlement",,"T")</f>
        <v>-0.57000000000000006</v>
      </c>
      <c r="AL9" s="108">
        <f t="shared" si="9"/>
        <v>53.99</v>
      </c>
    </row>
    <row r="10" spans="1:38" x14ac:dyDescent="0.25">
      <c r="A10" s="107" t="str">
        <f t="shared" si="1"/>
        <v>CLEX5</v>
      </c>
      <c r="B10" s="107" t="str">
        <f>RTD("cqg.rtd", ,"ContractData",A10, "ContractMonth")</f>
        <v>NOV</v>
      </c>
      <c r="C10" s="113" t="str">
        <f t="shared" si="2"/>
        <v>X</v>
      </c>
      <c r="D10" s="108" t="str">
        <f t="shared" si="3"/>
        <v>CLES1X</v>
      </c>
      <c r="P10" s="109" t="str">
        <f t="shared" si="4"/>
        <v>X</v>
      </c>
      <c r="Q10" s="114" t="str">
        <f>RTD("cqg.rtd", ,"ContractData", $Q$1&amp;"?"&amp;R43, "Symbol")</f>
        <v>CLEX5</v>
      </c>
      <c r="R10" s="112">
        <f>RTD("cqg.rtd", ,"ContractData", Q10, $R$1,,"T")</f>
        <v>53.9</v>
      </c>
      <c r="S10" s="112">
        <f>RTD("cqg.rtd", ,"ContractData", Q10,$S$1,,"T")</f>
        <v>54.02</v>
      </c>
      <c r="T10" s="112">
        <f>RTD("cqg.rtd", ,"ContractData", Q10,$T$1,,"T")</f>
        <v>54.22</v>
      </c>
      <c r="U10" s="112">
        <f>RTD("cqg.rtd", ,"ContractData", "F."&amp;$Q$1&amp;"?9", $U$1,,"T")</f>
        <v>1.6700000000000017</v>
      </c>
      <c r="V10" s="109" t="str">
        <f>L2</f>
        <v>CLES1X</v>
      </c>
      <c r="W10" s="112">
        <f>RTD("cqg.rtd", ,"ContractData", V10, $W$1,,"T")</f>
        <v>-0.57000000000000006</v>
      </c>
      <c r="X10" s="112">
        <f>RTD("cqg.rtd", ,"ContractData", V10, $X$1,,"T")</f>
        <v>9.9999999999999978E-2</v>
      </c>
      <c r="Y10" s="112">
        <f>RTD("cqg.rtd", ,"ContractData",V10,$Y$1,,"T")</f>
        <v>-0.57000000000000006</v>
      </c>
      <c r="Z10" s="112">
        <f>RTD("cqg.rtd", ,"ContractData", V10,$Z$1,,"T")</f>
        <v>-0.55000000000000004</v>
      </c>
      <c r="AA10" s="112">
        <f t="shared" si="5"/>
        <v>-0.57000000000000006</v>
      </c>
      <c r="AB10" s="112">
        <f t="shared" si="12"/>
        <v>54.120000000000005</v>
      </c>
      <c r="AC10" s="112">
        <f t="shared" si="10"/>
        <v>54.120000000000005</v>
      </c>
      <c r="AD10" s="112">
        <f t="shared" si="6"/>
        <v>-0.57000000000000006</v>
      </c>
      <c r="AF10" s="108">
        <f t="shared" si="7"/>
        <v>54.120000000000005</v>
      </c>
      <c r="AG10" s="108">
        <f t="shared" si="11"/>
        <v>-0.57000000000000006</v>
      </c>
      <c r="AH10" s="108" t="str">
        <f t="shared" si="8"/>
        <v>NOV</v>
      </c>
      <c r="AI10" s="108" t="str">
        <f>$AH$10&amp;", "&amp;AH11</f>
        <v>NOV, DEC</v>
      </c>
      <c r="AJ10" s="108">
        <f>RTD("cqg.rtd", ,"ContractData",Q10, "Settlement",,"T")</f>
        <v>54.56</v>
      </c>
      <c r="AK10" s="108">
        <f>RTD("cqg.rtd", ,"ContractData",V10, "Settlement",,"T")</f>
        <v>-0.56000000000000005</v>
      </c>
      <c r="AL10" s="108">
        <f t="shared" si="9"/>
        <v>54.56</v>
      </c>
    </row>
    <row r="11" spans="1:38" x14ac:dyDescent="0.25">
      <c r="A11" s="107" t="str">
        <f t="shared" si="1"/>
        <v>CLEZ5</v>
      </c>
      <c r="B11" s="107" t="str">
        <f>RTD("cqg.rtd", ,"ContractData",A11, "ContractMonth")</f>
        <v>DEC</v>
      </c>
      <c r="C11" s="113" t="str">
        <f t="shared" si="2"/>
        <v>Z</v>
      </c>
      <c r="D11" s="108" t="str">
        <f t="shared" si="3"/>
        <v>CLES1Z</v>
      </c>
      <c r="P11" s="109" t="str">
        <f t="shared" si="4"/>
        <v>Z</v>
      </c>
      <c r="Q11" s="114" t="str">
        <f>RTD("cqg.rtd", ,"ContractData", $Q$1&amp;"?"&amp;R44, "Symbol")</f>
        <v>CLEZ5</v>
      </c>
      <c r="R11" s="112">
        <f>RTD("cqg.rtd", ,"ContractData", Q11, $R$1,,"T")</f>
        <v>54.6</v>
      </c>
      <c r="S11" s="112">
        <f>RTD("cqg.rtd", ,"ContractData", Q11,$S$1,,"T")</f>
        <v>54.59</v>
      </c>
      <c r="T11" s="112">
        <f>RTD("cqg.rtd", ,"ContractData", Q11,$T$1,,"T")</f>
        <v>54.65</v>
      </c>
      <c r="U11" s="112">
        <f>RTD("cqg.rtd", ,"ContractData", "F."&amp;$Q$1&amp;"?10", $U$1,,"T")</f>
        <v>1.3999999999999986</v>
      </c>
      <c r="V11" s="109" t="str">
        <f>M2</f>
        <v>CLES1Z</v>
      </c>
      <c r="W11" s="112">
        <f>RTD("cqg.rtd", ,"ContractData", V11, $W$1,,"T")</f>
        <v>-0.45</v>
      </c>
      <c r="X11" s="112">
        <f>RTD("cqg.rtd", ,"ContractData", V11, $X$1,,"T")</f>
        <v>7.0000000000000007E-2</v>
      </c>
      <c r="Y11" s="112">
        <f>RTD("cqg.rtd", ,"ContractData",V11,$Y$1,,"T")</f>
        <v>-0.45</v>
      </c>
      <c r="Z11" s="112">
        <f>RTD("cqg.rtd", ,"ContractData", V11,$Z$1,,"T")</f>
        <v>-0.44</v>
      </c>
      <c r="AA11" s="112">
        <f t="shared" si="5"/>
        <v>-0.45</v>
      </c>
      <c r="AB11" s="112">
        <f t="shared" si="12"/>
        <v>54.6</v>
      </c>
      <c r="AC11" s="112">
        <f t="shared" si="10"/>
        <v>54.6</v>
      </c>
      <c r="AD11" s="112">
        <f t="shared" si="6"/>
        <v>-0.45</v>
      </c>
      <c r="AF11" s="108">
        <f t="shared" si="7"/>
        <v>54.6</v>
      </c>
      <c r="AG11" s="108">
        <f t="shared" si="11"/>
        <v>-0.45</v>
      </c>
      <c r="AH11" s="108" t="str">
        <f t="shared" si="8"/>
        <v>DEC</v>
      </c>
      <c r="AI11" s="108" t="str">
        <f>$AH$11&amp;", "&amp;AH12</f>
        <v>DEC, JAN</v>
      </c>
      <c r="AJ11" s="108">
        <f>RTD("cqg.rtd", ,"ContractData",Q11, "Settlement",,"T")</f>
        <v>55.120000000000005</v>
      </c>
      <c r="AK11" s="108">
        <f>RTD("cqg.rtd", ,"ContractData",V11, "Settlement",,"T")</f>
        <v>-0.44</v>
      </c>
      <c r="AL11" s="108">
        <f t="shared" si="9"/>
        <v>55.120000000000005</v>
      </c>
    </row>
    <row r="12" spans="1:38" x14ac:dyDescent="0.25">
      <c r="A12" s="107" t="str">
        <f t="shared" si="1"/>
        <v>CLEF6</v>
      </c>
      <c r="B12" s="107" t="str">
        <f>RTD("cqg.rtd", ,"ContractData",A12, "ContractMonth")</f>
        <v>JAN</v>
      </c>
      <c r="C12" s="113" t="str">
        <f t="shared" si="2"/>
        <v>F</v>
      </c>
      <c r="D12" s="108" t="str">
        <f t="shared" si="3"/>
        <v>CLES1F</v>
      </c>
      <c r="P12" s="109" t="str">
        <f t="shared" si="4"/>
        <v>F</v>
      </c>
      <c r="Q12" s="114" t="str">
        <f>RTD("cqg.rtd", ,"ContractData", $Q$1&amp;"?"&amp;R45, "Symbol")</f>
        <v>CLEF6</v>
      </c>
      <c r="R12" s="112">
        <f>RTD("cqg.rtd", ,"ContractData", Q12, $R$1,,"T")</f>
        <v>54.51</v>
      </c>
      <c r="S12" s="112">
        <f>RTD("cqg.rtd", ,"ContractData", Q12,$S$1,,"T")</f>
        <v>55.03</v>
      </c>
      <c r="T12" s="112">
        <f>RTD("cqg.rtd", ,"ContractData", Q12,$T$1,,"T")</f>
        <v>55.300000000000004</v>
      </c>
      <c r="U12" s="112">
        <f>RTD("cqg.rtd", ,"ContractData", "F."&amp;$Q$1&amp;"?11",$U$1,,"T")</f>
        <v>1.3200000000000003</v>
      </c>
      <c r="V12" s="109" t="str">
        <f>N2</f>
        <v>CLES1F</v>
      </c>
      <c r="W12" s="112">
        <f>RTD("cqg.rtd", ,"ContractData", V12, $W$1,,"T")</f>
        <v>-0.45</v>
      </c>
      <c r="X12" s="112">
        <f>RTD("cqg.rtd", ,"ContractData", V12, $X$1,,"T")</f>
        <v>0.06</v>
      </c>
      <c r="Y12" s="112">
        <f>RTD("cqg.rtd", ,"ContractData",V12,$Y$1,,"T")</f>
        <v>-0.45</v>
      </c>
      <c r="Z12" s="112">
        <f>RTD("cqg.rtd", ,"ContractData", V12,$Z$1,,"T")</f>
        <v>-0.44</v>
      </c>
      <c r="AA12" s="112">
        <f t="shared" si="5"/>
        <v>-0.45</v>
      </c>
      <c r="AB12" s="112">
        <f t="shared" si="12"/>
        <v>55.165000000000006</v>
      </c>
      <c r="AC12" s="112">
        <f t="shared" si="10"/>
        <v>55.165000000000006</v>
      </c>
      <c r="AD12" s="112">
        <f t="shared" si="6"/>
        <v>-0.45</v>
      </c>
      <c r="AF12" s="108">
        <f t="shared" si="7"/>
        <v>55.165000000000006</v>
      </c>
      <c r="AG12" s="108">
        <f t="shared" si="11"/>
        <v>-0.45</v>
      </c>
      <c r="AH12" s="108" t="str">
        <f t="shared" si="8"/>
        <v>JAN</v>
      </c>
      <c r="AI12" s="108" t="str">
        <f>$AH$12&amp;", "&amp;AH13</f>
        <v>JAN, FEB</v>
      </c>
      <c r="AJ12" s="108">
        <f>RTD("cqg.rtd", ,"ContractData",Q12, "Settlement",,"T")</f>
        <v>55.56</v>
      </c>
      <c r="AK12" s="108">
        <f>RTD("cqg.rtd", ,"ContractData",V12, "Settlement",,"T")</f>
        <v>-0.45</v>
      </c>
      <c r="AL12" s="108">
        <f t="shared" si="9"/>
        <v>55.56</v>
      </c>
    </row>
    <row r="13" spans="1:38" x14ac:dyDescent="0.25">
      <c r="A13" s="107" t="str">
        <f t="shared" si="1"/>
        <v>CLEG6</v>
      </c>
      <c r="B13" s="107" t="str">
        <f>RTD("cqg.rtd", ,"ContractData",A13, "ContractMonth")</f>
        <v>FEB</v>
      </c>
      <c r="C13" s="113" t="str">
        <f t="shared" si="2"/>
        <v>G</v>
      </c>
      <c r="D13" s="108" t="str">
        <f t="shared" si="3"/>
        <v>CLES1G</v>
      </c>
      <c r="P13" s="109" t="str">
        <f t="shared" si="4"/>
        <v>G</v>
      </c>
      <c r="Q13" s="114" t="str">
        <f>RTD("cqg.rtd", ,"ContractData", $Q$1&amp;"?"&amp;R46, "Symbol")</f>
        <v>CLEG6</v>
      </c>
      <c r="R13" s="112">
        <f>RTD("cqg.rtd", ,"ContractData", Q13, $R$1,,"T")</f>
        <v>55.2</v>
      </c>
      <c r="S13" s="112">
        <f>RTD("cqg.rtd", ,"ContractData", Q13,$S$1,,"T")</f>
        <v>48</v>
      </c>
      <c r="T13" s="112" t="str">
        <f>RTD("cqg.rtd", ,"ContractData", Q13,$T$1,,"T")</f>
        <v/>
      </c>
      <c r="U13" s="112">
        <f>RTD("cqg.rtd", ,"ContractData", "F."&amp;$Q$1&amp;"?12",$U$1,,"T")</f>
        <v>1.240000000000002</v>
      </c>
      <c r="V13" s="109" t="str">
        <f>O2</f>
        <v>CLES1G</v>
      </c>
      <c r="W13" s="112">
        <f>RTD("cqg.rtd", ,"ContractData", V13, $W$1,,"T")</f>
        <v>-0.44</v>
      </c>
      <c r="X13" s="112">
        <f>RTD("cqg.rtd", ,"ContractData", V13, $X$1,,"T")</f>
        <v>3.999999999999998E-2</v>
      </c>
      <c r="Y13" s="112">
        <f>RTD("cqg.rtd", ,"ContractData",V13,$Y$1,,"T")</f>
        <v>-0.44</v>
      </c>
      <c r="Z13" s="112">
        <f>RTD("cqg.rtd", ,"ContractData", V13,$Z$1,,"T")</f>
        <v>-0.43</v>
      </c>
      <c r="AA13" s="112">
        <f t="shared" si="5"/>
        <v>-0.44</v>
      </c>
      <c r="AB13" s="112">
        <f t="shared" si="12"/>
        <v>55.2</v>
      </c>
      <c r="AC13" s="112">
        <f t="shared" si="10"/>
        <v>55.2</v>
      </c>
      <c r="AD13" s="112">
        <f t="shared" si="6"/>
        <v>-0.44</v>
      </c>
      <c r="AF13" s="108">
        <f t="shared" si="7"/>
        <v>55.2</v>
      </c>
      <c r="AG13" s="108">
        <f t="shared" si="11"/>
        <v>-0.44</v>
      </c>
      <c r="AH13" s="108" t="str">
        <f t="shared" si="8"/>
        <v>FEB</v>
      </c>
      <c r="AJ13" s="108">
        <f>RTD("cqg.rtd", ,"ContractData",Q13, "Settlement",,"T")</f>
        <v>56.01</v>
      </c>
      <c r="AK13" s="108">
        <f>RTD("cqg.rtd", ,"ContractData",V13, "Settlement",,"T")</f>
        <v>-0.44</v>
      </c>
      <c r="AL13" s="108">
        <f t="shared" si="9"/>
        <v>56.01</v>
      </c>
    </row>
    <row r="14" spans="1:38" x14ac:dyDescent="0.25"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</row>
    <row r="15" spans="1:38" x14ac:dyDescent="0.25">
      <c r="P15" s="109"/>
      <c r="Q15" s="109"/>
      <c r="R15" s="109"/>
      <c r="S15" s="109"/>
      <c r="T15" s="109"/>
      <c r="U15" s="109"/>
    </row>
    <row r="17" spans="20:29" x14ac:dyDescent="0.25">
      <c r="AB17" s="115"/>
      <c r="AC17" s="115"/>
    </row>
    <row r="18" spans="20:29" x14ac:dyDescent="0.25">
      <c r="AB18" s="115"/>
      <c r="AC18" s="115"/>
    </row>
    <row r="19" spans="20:29" x14ac:dyDescent="0.25">
      <c r="AB19" s="115"/>
      <c r="AC19" s="115"/>
    </row>
    <row r="20" spans="20:29" x14ac:dyDescent="0.25">
      <c r="U20" s="116"/>
      <c r="V20" s="116"/>
      <c r="AB20" s="115"/>
      <c r="AC20" s="115"/>
    </row>
    <row r="21" spans="20:29" x14ac:dyDescent="0.25">
      <c r="T21" s="115"/>
      <c r="U21" s="115"/>
      <c r="V21" s="115"/>
      <c r="X21" s="115"/>
      <c r="Y21" s="115"/>
      <c r="Z21" s="115"/>
      <c r="AB21" s="115"/>
      <c r="AC21" s="115"/>
    </row>
    <row r="22" spans="20:29" x14ac:dyDescent="0.25">
      <c r="T22" s="115"/>
      <c r="U22" s="115"/>
      <c r="V22" s="115"/>
      <c r="X22" s="115"/>
      <c r="Y22" s="115"/>
      <c r="Z22" s="115"/>
      <c r="AB22" s="115"/>
      <c r="AC22" s="115"/>
    </row>
    <row r="23" spans="20:29" x14ac:dyDescent="0.25">
      <c r="T23" s="115"/>
      <c r="U23" s="115"/>
      <c r="V23" s="115"/>
      <c r="X23" s="115"/>
      <c r="Y23" s="115"/>
      <c r="Z23" s="115"/>
      <c r="AB23" s="115"/>
      <c r="AC23" s="115"/>
    </row>
    <row r="24" spans="20:29" x14ac:dyDescent="0.25">
      <c r="T24" s="115"/>
      <c r="U24" s="115"/>
      <c r="V24" s="115"/>
      <c r="X24" s="115"/>
      <c r="Y24" s="115"/>
      <c r="Z24" s="115"/>
      <c r="AB24" s="115"/>
      <c r="AC24" s="115"/>
    </row>
    <row r="25" spans="20:29" x14ac:dyDescent="0.25">
      <c r="T25" s="115"/>
      <c r="U25" s="115"/>
      <c r="V25" s="115"/>
      <c r="X25" s="115"/>
      <c r="Y25" s="115"/>
      <c r="Z25" s="115"/>
    </row>
    <row r="26" spans="20:29" x14ac:dyDescent="0.25">
      <c r="T26" s="115"/>
      <c r="U26" s="115"/>
      <c r="V26" s="115"/>
      <c r="X26" s="115"/>
      <c r="Y26" s="115"/>
      <c r="Z26" s="115"/>
    </row>
    <row r="27" spans="20:29" x14ac:dyDescent="0.25">
      <c r="T27" s="115"/>
      <c r="U27" s="115"/>
      <c r="V27" s="115"/>
      <c r="X27" s="115"/>
      <c r="Y27" s="115"/>
      <c r="Z27" s="115"/>
    </row>
    <row r="28" spans="20:29" x14ac:dyDescent="0.25">
      <c r="T28" s="115"/>
      <c r="U28" s="115"/>
      <c r="V28" s="115"/>
      <c r="X28" s="115"/>
      <c r="Y28" s="115"/>
      <c r="Z28" s="115"/>
    </row>
    <row r="29" spans="20:29" x14ac:dyDescent="0.25">
      <c r="T29" s="115"/>
      <c r="U29" s="115"/>
      <c r="V29" s="115"/>
      <c r="X29" s="115"/>
      <c r="Y29" s="115"/>
      <c r="Z29" s="115"/>
    </row>
    <row r="30" spans="20:29" x14ac:dyDescent="0.25">
      <c r="T30" s="115"/>
      <c r="U30" s="115"/>
      <c r="V30" s="115"/>
      <c r="X30" s="115"/>
      <c r="Y30" s="115"/>
      <c r="Z30" s="115"/>
    </row>
    <row r="31" spans="20:29" x14ac:dyDescent="0.25">
      <c r="T31" s="115"/>
      <c r="U31" s="115"/>
      <c r="V31" s="115"/>
      <c r="X31" s="115"/>
      <c r="Y31" s="115"/>
      <c r="Z31" s="115"/>
    </row>
    <row r="32" spans="20:29" x14ac:dyDescent="0.25">
      <c r="T32" s="115"/>
      <c r="U32" s="115"/>
      <c r="V32" s="115"/>
      <c r="X32" s="115"/>
      <c r="Y32" s="115"/>
      <c r="Z32" s="115"/>
    </row>
    <row r="33" spans="18:26" x14ac:dyDescent="0.25">
      <c r="T33" s="115"/>
      <c r="U33" s="115"/>
      <c r="V33" s="115"/>
    </row>
    <row r="34" spans="18:26" x14ac:dyDescent="0.25">
      <c r="R34" s="108" t="s">
        <v>6</v>
      </c>
      <c r="T34" s="115">
        <f xml:space="preserve"> RTD("cqg.rtd",,"StudyData","Consolidate(CLES1?1-CLES1?2,5X,CLES1?1-CLES1?2,1,0)",  "Bar",, "Close", "D",,,,,,"T")</f>
        <v>0.19</v>
      </c>
      <c r="U34" s="115">
        <f xml:space="preserve"> RTD("cqg.rtd",,"StudyData","Consolidate(CLES1?1-CLES1?2,5X,CLES1?1-CLES1?2,1,0)",  "Bar",, "Close", "D","-1",,,,,"T")</f>
        <v>0.26</v>
      </c>
      <c r="V34" s="115" t="str">
        <f>CLEDisplay!K41</f>
        <v>MAR, APR, MAY</v>
      </c>
      <c r="W34" s="108" t="s">
        <v>22</v>
      </c>
      <c r="X34" s="115"/>
      <c r="Y34" s="115"/>
      <c r="Z34" s="115"/>
    </row>
    <row r="35" spans="18:26" x14ac:dyDescent="0.25">
      <c r="R35" s="108">
        <f>IF(RTD("cqg.rtd", ,"ContractData",Q1&amp;"?", "ContractMonth")=RTD("cqg.rtd", ,"ContractData",Q1&amp;"?1", "ContractMonth"),1,2)</f>
        <v>2</v>
      </c>
      <c r="S35" s="108" t="str">
        <f>RTD("cqg.rtd",,"ContractData",Q1&amp;"?1", "Symbol")</f>
        <v>CLEG5</v>
      </c>
      <c r="T35" s="115">
        <f xml:space="preserve"> RTD("cqg.rtd",,"StudyData","Consolidate(CLES1?2-CLES1?3,5X,CLES1?2-CLES1?3,1,0)",  "Bar",, "Close", "D",,,,,,"T")</f>
        <v>0.11</v>
      </c>
      <c r="U35" s="115">
        <f xml:space="preserve"> RTD("cqg.rtd",,"StudyData","Consolidate(CLES1?2-CLES1?3,5X,CLES1?2-CLES1?3,1,0)",  "Bar",, "Close", "D","-1",,,,,"T")</f>
        <v>0.1</v>
      </c>
      <c r="V35" s="115" t="str">
        <f>CLEDisplay!L41</f>
        <v>APR, MAY, JUN</v>
      </c>
      <c r="W35" s="108" t="s">
        <v>24</v>
      </c>
      <c r="X35" s="115"/>
      <c r="Y35" s="115"/>
      <c r="Z35" s="115"/>
    </row>
    <row r="36" spans="18:26" x14ac:dyDescent="0.25">
      <c r="R36" s="108">
        <f>R35+1</f>
        <v>3</v>
      </c>
      <c r="S36" s="108" t="str">
        <f>RTD("cqg.rtd",,"ContractData",Q1&amp;"?2", "Symbol")</f>
        <v>CLEH5</v>
      </c>
      <c r="T36" s="115">
        <f xml:space="preserve"> RTD("cqg.rtd",,"StudyData","Consolidate(CLES1?3-CLES1?4,5X,CLES1?3-CLES1?4,1,0)",  "Bar",, "Close", "D",,,,,,"T")</f>
        <v>0</v>
      </c>
      <c r="U36" s="115">
        <f xml:space="preserve"> RTD("cqg.rtd",,"StudyData","Consolidate(CLES1?3-CLES1?4,5X,CLES1?3-CLES1?4,1,0)",  "Bar",, "Close","D","-1",,,,,"T")</f>
        <v>-0.02</v>
      </c>
      <c r="V36" s="115" t="str">
        <f>CLEDisplay!M41</f>
        <v>MAY, JUN, JUL</v>
      </c>
      <c r="W36" s="108" t="s">
        <v>25</v>
      </c>
      <c r="X36" s="115"/>
      <c r="Y36" s="115"/>
      <c r="Z36" s="115"/>
    </row>
    <row r="37" spans="18:26" x14ac:dyDescent="0.25">
      <c r="R37" s="108">
        <f t="shared" ref="R37:R46" si="13">R36+1</f>
        <v>4</v>
      </c>
      <c r="T37" s="115">
        <f xml:space="preserve"> RTD("cqg.rtd",,"StudyData","Consolidate(CLES1?4-CLES1?5,5X,CLES1?4-CLES1?5,1,0)",  "Bar",, "Close", "D",,,,,,"T")</f>
        <v>-0.04</v>
      </c>
      <c r="U37" s="115">
        <f xml:space="preserve"> RTD("cqg.rtd",,"StudyData","Consolidate(CLES1?4-CLES1?5,5X,CLES1?4-CLES1?5,1,0)",  "Bar",, "Close","D","-1",,,,,"T")</f>
        <v>-0.03</v>
      </c>
      <c r="V37" s="115" t="str">
        <f>CLEDisplay!N41</f>
        <v>JUN, JUL, AUG</v>
      </c>
      <c r="W37" s="108" t="s">
        <v>26</v>
      </c>
      <c r="X37" s="115"/>
      <c r="Y37" s="115"/>
      <c r="Z37" s="115"/>
    </row>
    <row r="38" spans="18:26" x14ac:dyDescent="0.25">
      <c r="R38" s="108">
        <f t="shared" si="13"/>
        <v>5</v>
      </c>
      <c r="T38" s="115">
        <f xml:space="preserve"> RTD("cqg.rtd",,"StudyData","Consolidate(CLES1?5-CLES1?6,5X,CLES1?5-CLES1?6,1,0)",  "Bar",, "Close", "D",,,,,,"T")</f>
        <v>-0.05</v>
      </c>
      <c r="U38" s="115">
        <f xml:space="preserve"> RTD("cqg.rtd",,"StudyData","Consolidate(CLES1?5-CLES1?6,5X,CLES1?5-CLES1?6,1,0)",  "Bar",, "Close","D","-1",,,,,"T")</f>
        <v>-0.05</v>
      </c>
      <c r="V38" s="115" t="str">
        <f>CLEDisplay!O41</f>
        <v>JUL, AUG, SEP</v>
      </c>
      <c r="W38" s="108" t="s">
        <v>27</v>
      </c>
      <c r="X38" s="115"/>
      <c r="Y38" s="115"/>
      <c r="Z38" s="115"/>
    </row>
    <row r="39" spans="18:26" x14ac:dyDescent="0.25">
      <c r="R39" s="108">
        <f t="shared" si="13"/>
        <v>6</v>
      </c>
      <c r="T39" s="115">
        <f xml:space="preserve"> RTD("cqg.rtd",,"StudyData","Consolidate(CLES1?6-CLES1?7,5X,CLES1?6-CLES1?7,1,0)",  "Bar",, "Close", "D",,,,,,"T")</f>
        <v>0</v>
      </c>
      <c r="U39" s="115">
        <f xml:space="preserve"> RTD("cqg.rtd",,"StudyData","Consolidate(CLES1?6-CLES1?7,5X,CLES1?6-CLES1?7,1,0)",  "Bar",, "Close", "D","-1",,,,,"T")</f>
        <v>0.01</v>
      </c>
      <c r="V39" s="115" t="str">
        <f>CLEDisplay!P41</f>
        <v>AUG, SEP, OCT</v>
      </c>
      <c r="W39" s="108" t="s">
        <v>28</v>
      </c>
      <c r="X39" s="115"/>
      <c r="Y39" s="115"/>
      <c r="Z39" s="115"/>
    </row>
    <row r="40" spans="18:26" x14ac:dyDescent="0.25">
      <c r="R40" s="108">
        <f t="shared" si="13"/>
        <v>7</v>
      </c>
      <c r="T40" s="115">
        <f xml:space="preserve"> RTD("cqg.rtd",,"StudyData","Consolidate(CLES1?7-CLES1?8,5X,CLES1?7-CLES1?8,1,0)",  "Bar",, "Close", "D",,,,,,"T")</f>
        <v>-0.06</v>
      </c>
      <c r="U40" s="115">
        <f xml:space="preserve"> RTD("cqg.rtd",,"StudyData","Consolidate(CLES1?7-CLES1?8,5X,CLES1?7-CLES1?8,1,0)",  "Bar",, "Close", "D","-1",,,,,"T")</f>
        <v>-0.04</v>
      </c>
      <c r="V40" s="115" t="str">
        <f>CLEDisplay!Q41</f>
        <v>SEP, OCT, NOV</v>
      </c>
      <c r="W40" s="108" t="s">
        <v>29</v>
      </c>
      <c r="X40" s="115"/>
      <c r="Y40" s="115"/>
      <c r="Z40" s="115"/>
    </row>
    <row r="41" spans="18:26" x14ac:dyDescent="0.25">
      <c r="R41" s="108">
        <f t="shared" si="13"/>
        <v>8</v>
      </c>
      <c r="T41" s="115">
        <f xml:space="preserve"> RTD("cqg.rtd",,"StudyData","Consolidate(CLES1?8-CLES1?9,5X,CLES1?8-CLES1?9,1,0)",  "Bar",, "Close", "D",,,,,,"T")</f>
        <v>-0.01</v>
      </c>
      <c r="U41" s="115">
        <f xml:space="preserve"> RTD("cqg.rtd",,"StudyData","Consolidate(CLES1?8-CLES1?9,5X,CLES1?8-CLES1?9,1,0)",  "Bar",, "Close","D","-1",,,,,"T")</f>
        <v>-0.02</v>
      </c>
      <c r="V41" s="115" t="str">
        <f>CLEDisplay!R41</f>
        <v>OCT, NOV, DEC</v>
      </c>
      <c r="W41" s="108" t="s">
        <v>30</v>
      </c>
      <c r="X41" s="115"/>
      <c r="Y41" s="115"/>
      <c r="Z41" s="115"/>
    </row>
    <row r="42" spans="18:26" x14ac:dyDescent="0.25">
      <c r="R42" s="108">
        <f t="shared" si="13"/>
        <v>9</v>
      </c>
      <c r="T42" s="115">
        <f xml:space="preserve"> RTD("cqg.rtd",,"StudyData","Consolidate(CLES1?9-CLES1?10,5X,CLES1?9-CLES1?10,1,0)",  "Bar",, "Close", "D",,,,,,"T")</f>
        <v>-0.01</v>
      </c>
      <c r="U42" s="115">
        <f xml:space="preserve"> RTD("cqg.rtd",,"StudyData","Consolidate(CLES1?9-CLES1?10,5X,CLES1?9-CLES1?10,1,0)",  "Bar",, "Close", "D","-1",,,,,"T")</f>
        <v>0</v>
      </c>
      <c r="V42" s="115" t="str">
        <f>CLEDisplay!S41</f>
        <v>NOV, DEC, JAN</v>
      </c>
      <c r="W42" s="108" t="s">
        <v>31</v>
      </c>
      <c r="X42" s="115"/>
      <c r="Y42" s="115"/>
      <c r="Z42" s="115"/>
    </row>
    <row r="43" spans="18:26" x14ac:dyDescent="0.25">
      <c r="R43" s="108">
        <f t="shared" si="13"/>
        <v>10</v>
      </c>
      <c r="T43" s="115">
        <f xml:space="preserve"> RTD("cqg.rtd",,"StudyData","Consolidate(CLES1?10-CLES1?11,5X,CLES1?10-CLES11?2,1,0)",  "Bar",, "Close", "D",,,,,,"T")</f>
        <v>-0.12</v>
      </c>
      <c r="U43" s="115">
        <f xml:space="preserve"> RTD("cqg.rtd",,"StudyData","Consolidate(CLES1?10-CLES1?11,5X,CLES1?10-CLES11?2,1,0)",  "Bar",, "Close", "D","-1",,,,,"T")</f>
        <v>-0.14000000000000001</v>
      </c>
      <c r="V43" s="115" t="str">
        <f>CLEDisplay!T41</f>
        <v>DEC, JAN, FEB</v>
      </c>
      <c r="W43" s="108" t="s">
        <v>32</v>
      </c>
      <c r="X43" s="115"/>
      <c r="Y43" s="115"/>
      <c r="Z43" s="115"/>
    </row>
    <row r="44" spans="18:26" x14ac:dyDescent="0.25">
      <c r="R44" s="108">
        <f t="shared" si="13"/>
        <v>11</v>
      </c>
    </row>
    <row r="45" spans="18:26" x14ac:dyDescent="0.25">
      <c r="R45" s="108">
        <f t="shared" si="13"/>
        <v>12</v>
      </c>
    </row>
    <row r="46" spans="18:26" x14ac:dyDescent="0.25">
      <c r="R46" s="108">
        <f t="shared" si="13"/>
        <v>13</v>
      </c>
      <c r="Z46" s="115"/>
    </row>
  </sheetData>
  <sheetProtection algorithmName="SHA-512" hashValue="bUiv75+QOR/QhyqVSnmnuXNDDeVY/e7irbIWDcssNUxoMFVryTb3YeIxOEFJKZwrZHExOQTZ8g5taNtIHuXJDA==" saltValue="iD2OCLpGRH9sMaNG8Wgjb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CLEDisplay</vt:lpstr>
      <vt:lpstr>CLE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2015-01-16T21:32:59Z</dcterms:modified>
</cp:coreProperties>
</file>