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esktop\July17Webinar\"/>
    </mc:Choice>
  </mc:AlternateContent>
  <bookViews>
    <workbookView showHorizontalScroll="0" showVerticalScroll="0" xWindow="0" yWindow="0" windowWidth="13785" windowHeight="8400"/>
  </bookViews>
  <sheets>
    <sheet name="Main" sheetId="2" r:id="rId1"/>
    <sheet name="FVS" sheetId="3" state="hidden" r:id="rId2"/>
    <sheet name="VX" sheetId="6" state="hidden" r:id="rId3"/>
    <sheet name="Spread" sheetId="5" state="hidden" r:id="rId4"/>
    <sheet name="Charts" sheetId="4" state="hidden" r:id="rId5"/>
  </sheets>
  <calcPr calcId="152511"/>
</workbook>
</file>

<file path=xl/calcChain.xml><?xml version="1.0" encoding="utf-8"?>
<calcChain xmlns="http://schemas.openxmlformats.org/spreadsheetml/2006/main">
  <c r="R4" i="4" l="1"/>
  <c r="S22" i="4"/>
  <c r="S27" i="4"/>
  <c r="V10" i="4"/>
  <c r="S7" i="4"/>
  <c r="U15" i="4"/>
  <c r="V8" i="4"/>
  <c r="S9" i="4"/>
  <c r="T10" i="4"/>
  <c r="V11" i="4"/>
  <c r="T12" i="4"/>
  <c r="T16" i="4"/>
  <c r="S14" i="4"/>
  <c r="U10" i="4"/>
  <c r="T31" i="4"/>
  <c r="V27" i="4"/>
  <c r="J2" i="4"/>
  <c r="T27" i="4"/>
  <c r="S8" i="4"/>
  <c r="W38" i="2"/>
  <c r="S31" i="4"/>
  <c r="V31" i="4"/>
  <c r="Z38" i="2"/>
  <c r="T30" i="4"/>
  <c r="U22" i="4"/>
  <c r="S23" i="4"/>
  <c r="U26" i="4"/>
  <c r="V13" i="4"/>
  <c r="T2" i="4"/>
  <c r="V12" i="4"/>
  <c r="S12" i="4"/>
  <c r="U6" i="4"/>
  <c r="U8" i="4"/>
  <c r="V16" i="4"/>
  <c r="U23" i="4"/>
  <c r="S16" i="4"/>
  <c r="T9" i="4"/>
  <c r="V14" i="4"/>
  <c r="T14" i="4"/>
  <c r="S2" i="4"/>
  <c r="U27" i="4"/>
  <c r="S4" i="4"/>
  <c r="U31" i="4"/>
  <c r="U17" i="4"/>
  <c r="U5" i="4"/>
  <c r="T15" i="4"/>
  <c r="U4" i="4"/>
  <c r="V26" i="4"/>
  <c r="U28" i="4"/>
  <c r="V28" i="4"/>
  <c r="V21" i="4"/>
  <c r="S28" i="4"/>
  <c r="V18" i="4"/>
  <c r="U11" i="4"/>
  <c r="U19" i="4"/>
  <c r="S10" i="4"/>
  <c r="U9" i="4"/>
  <c r="T19" i="4"/>
  <c r="V6" i="4"/>
  <c r="U16" i="4"/>
  <c r="V7" i="4"/>
  <c r="V23" i="4"/>
  <c r="S3" i="4"/>
  <c r="V30" i="4"/>
  <c r="S21" i="4"/>
  <c r="S19" i="4"/>
  <c r="V4" i="4"/>
  <c r="U2" i="4"/>
  <c r="V29" i="4"/>
  <c r="U12" i="4"/>
  <c r="S15" i="4"/>
  <c r="T22" i="4"/>
  <c r="U25" i="4"/>
  <c r="U3" i="4"/>
  <c r="U14" i="4"/>
  <c r="T13" i="4"/>
  <c r="U13" i="4"/>
  <c r="V24" i="4"/>
  <c r="T25" i="4"/>
  <c r="T8" i="4"/>
  <c r="V9" i="4"/>
  <c r="X38" i="2"/>
  <c r="T24" i="4"/>
  <c r="U20" i="4"/>
  <c r="T20" i="4"/>
  <c r="S30" i="4"/>
  <c r="V2" i="4"/>
  <c r="V19" i="4"/>
  <c r="S5" i="4"/>
  <c r="V20" i="4"/>
  <c r="T23" i="4"/>
  <c r="T5" i="4"/>
  <c r="U24" i="4"/>
  <c r="U21" i="4"/>
  <c r="J61" i="2"/>
  <c r="V3" i="4"/>
  <c r="S29" i="4"/>
  <c r="T17" i="4"/>
  <c r="S13" i="4"/>
  <c r="S25" i="4"/>
  <c r="Y38" i="2"/>
  <c r="V25" i="4"/>
  <c r="T21" i="4"/>
  <c r="V22" i="4"/>
  <c r="T6" i="4"/>
  <c r="S26" i="4"/>
  <c r="S18" i="4"/>
  <c r="T4" i="4"/>
  <c r="S24" i="4"/>
  <c r="V17" i="4"/>
  <c r="S17" i="4"/>
  <c r="V5" i="4"/>
  <c r="T28" i="4"/>
  <c r="V15" i="4"/>
  <c r="U7" i="4"/>
  <c r="U30" i="4"/>
  <c r="I2" i="4"/>
  <c r="T11" i="4"/>
  <c r="U29" i="4"/>
  <c r="T29" i="4"/>
  <c r="S11" i="4"/>
  <c r="U18" i="4"/>
  <c r="T7" i="4"/>
  <c r="T61" i="2"/>
  <c r="T3" i="4"/>
  <c r="T18" i="4"/>
  <c r="S20" i="4"/>
  <c r="S6" i="4"/>
  <c r="T26" i="4"/>
  <c r="K2" i="4" l="1"/>
  <c r="R5" i="4"/>
  <c r="X3" i="4"/>
  <c r="X4" i="4"/>
  <c r="R6" i="4" l="1"/>
  <c r="X5" i="4"/>
  <c r="R7" i="4" l="1"/>
  <c r="X6" i="4"/>
  <c r="R8" i="4" l="1"/>
  <c r="X7" i="4"/>
  <c r="R9" i="4" l="1"/>
  <c r="X8" i="4"/>
  <c r="R10" i="4" l="1"/>
  <c r="X9" i="4"/>
  <c r="R11" i="4" l="1"/>
  <c r="X10" i="4"/>
  <c r="R12" i="4" l="1"/>
  <c r="X11" i="4"/>
  <c r="R13" i="4" l="1"/>
  <c r="X12" i="4"/>
  <c r="R14" i="4" l="1"/>
  <c r="R3" i="4"/>
  <c r="X13" i="4"/>
  <c r="X2" i="4"/>
  <c r="R15" i="4" l="1"/>
  <c r="V16" i="3"/>
  <c r="V1" i="3"/>
  <c r="H14" i="2"/>
  <c r="V13" i="3"/>
  <c r="V17" i="3"/>
  <c r="P14" i="2"/>
  <c r="X14" i="4"/>
  <c r="R16" i="4" l="1"/>
  <c r="V21" i="3"/>
  <c r="X15" i="4"/>
  <c r="R17" i="4" l="1"/>
  <c r="X16" i="4"/>
  <c r="R18" i="4" l="1"/>
  <c r="X17" i="4"/>
  <c r="R19" i="4" l="1"/>
  <c r="X18" i="4"/>
  <c r="R20" i="4" l="1"/>
  <c r="X19" i="4"/>
  <c r="R21" i="4" l="1"/>
  <c r="X20" i="4"/>
  <c r="R22" i="4" l="1"/>
  <c r="X21" i="4"/>
  <c r="R23" i="4" l="1"/>
  <c r="X22" i="4"/>
  <c r="R24" i="4" l="1"/>
  <c r="X23" i="4"/>
  <c r="R25" i="4" l="1"/>
  <c r="X24" i="4"/>
  <c r="R26" i="4" l="1"/>
  <c r="X25" i="4"/>
  <c r="R27" i="4" l="1"/>
  <c r="N9" i="3"/>
  <c r="N8" i="3"/>
  <c r="N7" i="3"/>
  <c r="N6" i="3"/>
  <c r="N5" i="3"/>
  <c r="N4" i="3"/>
  <c r="N3" i="3"/>
  <c r="N2" i="3"/>
  <c r="N10" i="6"/>
  <c r="N9" i="6"/>
  <c r="N8" i="6"/>
  <c r="N7" i="6"/>
  <c r="N6" i="6"/>
  <c r="N5" i="6"/>
  <c r="N4" i="6"/>
  <c r="N3" i="6"/>
  <c r="N2" i="6"/>
  <c r="M15" i="2"/>
  <c r="D15" i="2"/>
  <c r="X26" i="4"/>
  <c r="N15" i="2"/>
  <c r="F15" i="2"/>
  <c r="E15" i="2"/>
  <c r="L15" i="2"/>
  <c r="R28" i="4" l="1"/>
  <c r="AA9" i="3"/>
  <c r="AD9" i="3"/>
  <c r="AG9" i="3" s="1"/>
  <c r="U8" i="2"/>
  <c r="U9" i="2"/>
  <c r="U12" i="2"/>
  <c r="X10" i="2"/>
  <c r="W8" i="2"/>
  <c r="Y8" i="2"/>
  <c r="V9" i="2"/>
  <c r="W12" i="2"/>
  <c r="Z10" i="2"/>
  <c r="X8" i="2"/>
  <c r="Z12" i="2"/>
  <c r="V12" i="2"/>
  <c r="Y9" i="2"/>
  <c r="Y10" i="2"/>
  <c r="T8" i="2"/>
  <c r="Y12" i="2"/>
  <c r="U10" i="2"/>
  <c r="Z9" i="2"/>
  <c r="Z8" i="2"/>
  <c r="T10" i="2"/>
  <c r="V8" i="2"/>
  <c r="W9" i="2"/>
  <c r="V10" i="2"/>
  <c r="W10" i="2"/>
  <c r="T9" i="2"/>
  <c r="T12" i="2"/>
  <c r="X9" i="2"/>
  <c r="X12" i="2"/>
  <c r="AL1" i="6"/>
  <c r="O61" i="2"/>
  <c r="X27" i="4"/>
  <c r="AJ1" i="3"/>
  <c r="AF1" i="3"/>
  <c r="AF1" i="6"/>
  <c r="X61" i="2"/>
  <c r="R29" i="4" l="1"/>
  <c r="AL1" i="3"/>
  <c r="V1" i="6"/>
  <c r="Q1" i="6"/>
  <c r="Q1" i="3"/>
  <c r="X28" i="4"/>
  <c r="U10" i="6"/>
  <c r="Q9" i="3"/>
  <c r="U9" i="3"/>
  <c r="R30" i="4" l="1"/>
  <c r="V9" i="3"/>
  <c r="V10" i="6"/>
  <c r="R36" i="6"/>
  <c r="R36" i="3"/>
  <c r="S36" i="3"/>
  <c r="U6" i="6"/>
  <c r="S36" i="6"/>
  <c r="U5" i="6"/>
  <c r="S35" i="6"/>
  <c r="U7" i="6"/>
  <c r="Q2" i="6"/>
  <c r="R9" i="3"/>
  <c r="U4" i="3"/>
  <c r="U6" i="3"/>
  <c r="Q2" i="3"/>
  <c r="U3" i="3"/>
  <c r="AO9" i="3"/>
  <c r="X29" i="4"/>
  <c r="U8" i="3"/>
  <c r="U9" i="6"/>
  <c r="S35" i="3"/>
  <c r="U7" i="3"/>
  <c r="U8" i="6"/>
  <c r="U5" i="3"/>
  <c r="AN9" i="3"/>
  <c r="U3" i="6"/>
  <c r="U2" i="6"/>
  <c r="U2" i="3"/>
  <c r="U4" i="6"/>
  <c r="R31" i="4" l="1"/>
  <c r="AP9" i="3"/>
  <c r="V6" i="3"/>
  <c r="V5" i="3"/>
  <c r="V8" i="3"/>
  <c r="V3" i="3"/>
  <c r="V4" i="3"/>
  <c r="V7" i="3"/>
  <c r="V2" i="3"/>
  <c r="V9" i="6"/>
  <c r="V7" i="6"/>
  <c r="V4" i="6"/>
  <c r="V5" i="6"/>
  <c r="V3" i="6"/>
  <c r="V6" i="6"/>
  <c r="V8" i="6"/>
  <c r="V2" i="6"/>
  <c r="C2" i="5"/>
  <c r="B2" i="5"/>
  <c r="AF30" i="2"/>
  <c r="R37" i="6"/>
  <c r="AI30" i="2"/>
  <c r="AC30" i="2"/>
  <c r="R37" i="3"/>
  <c r="X30" i="4"/>
  <c r="AH2" i="3"/>
  <c r="Q3" i="6"/>
  <c r="V25" i="6"/>
  <c r="AE30" i="2"/>
  <c r="R2" i="6"/>
  <c r="V21" i="6"/>
  <c r="AH2" i="6"/>
  <c r="E2" i="5"/>
  <c r="Q3" i="3"/>
  <c r="S2" i="3"/>
  <c r="S2" i="6"/>
  <c r="V22" i="6"/>
  <c r="T2" i="3"/>
  <c r="AJ2" i="3"/>
  <c r="AJ14" i="3"/>
  <c r="T2" i="6"/>
  <c r="AN2" i="6"/>
  <c r="AO2" i="3"/>
  <c r="B6" i="2"/>
  <c r="O2" i="3"/>
  <c r="Q14" i="6"/>
  <c r="V24" i="6"/>
  <c r="O2" i="6"/>
  <c r="V23" i="6"/>
  <c r="R2" i="3"/>
  <c r="K6" i="2"/>
  <c r="D2" i="5"/>
  <c r="AJ13" i="3"/>
  <c r="AO2" i="6"/>
  <c r="AJ2" i="6"/>
  <c r="V20" i="6"/>
  <c r="AN2" i="3"/>
  <c r="AP2" i="6" l="1"/>
  <c r="AP2" i="3"/>
  <c r="AC2" i="3"/>
  <c r="AF2" i="3" s="1"/>
  <c r="P2" i="6"/>
  <c r="P2" i="3"/>
  <c r="C3" i="5"/>
  <c r="B3" i="5"/>
  <c r="F2" i="5"/>
  <c r="AC31" i="2"/>
  <c r="AI31" i="2"/>
  <c r="AF31" i="2"/>
  <c r="AL2" i="6"/>
  <c r="AB2" i="6"/>
  <c r="AC2" i="6"/>
  <c r="AF2" i="6" s="1"/>
  <c r="R38" i="6"/>
  <c r="AB2" i="3"/>
  <c r="AL2" i="3"/>
  <c r="R38" i="3"/>
  <c r="B10" i="2"/>
  <c r="R3" i="3"/>
  <c r="B7" i="2"/>
  <c r="AN3" i="6"/>
  <c r="R3" i="6"/>
  <c r="S3" i="3"/>
  <c r="AA30" i="2"/>
  <c r="AD31" i="2"/>
  <c r="B9" i="2"/>
  <c r="O3" i="6"/>
  <c r="AO3" i="6"/>
  <c r="D12" i="5"/>
  <c r="O3" i="3"/>
  <c r="D4" i="2"/>
  <c r="AO3" i="3"/>
  <c r="AJ3" i="6"/>
  <c r="AH3" i="6"/>
  <c r="X31" i="4"/>
  <c r="AA31" i="2"/>
  <c r="AG31" i="2"/>
  <c r="AB30" i="2"/>
  <c r="K10" i="2"/>
  <c r="K9" i="2"/>
  <c r="L6" i="2"/>
  <c r="AH30" i="2"/>
  <c r="AJ3" i="3"/>
  <c r="L4" i="2"/>
  <c r="K8" i="2"/>
  <c r="Q15" i="6"/>
  <c r="D6" i="2"/>
  <c r="AH3" i="3"/>
  <c r="S3" i="6"/>
  <c r="AN3" i="3"/>
  <c r="Q4" i="3"/>
  <c r="T3" i="3"/>
  <c r="T3" i="6"/>
  <c r="B8" i="2"/>
  <c r="AD30" i="2"/>
  <c r="K7" i="2"/>
  <c r="AG30" i="2"/>
  <c r="H2" i="5"/>
  <c r="Q4" i="6"/>
  <c r="E3" i="5"/>
  <c r="D3" i="5"/>
  <c r="AP3" i="6" l="1"/>
  <c r="AP3" i="3"/>
  <c r="AC3" i="3"/>
  <c r="AF3" i="3" s="1"/>
  <c r="B13" i="2"/>
  <c r="K13" i="2"/>
  <c r="P3" i="3"/>
  <c r="P3" i="6"/>
  <c r="T7" i="2"/>
  <c r="C4" i="5"/>
  <c r="B4" i="5"/>
  <c r="AC32" i="2"/>
  <c r="AI32" i="2"/>
  <c r="AF32" i="2"/>
  <c r="AB3" i="6"/>
  <c r="AL3" i="6"/>
  <c r="AC3" i="6"/>
  <c r="AF3" i="6" s="1"/>
  <c r="R39" i="6"/>
  <c r="AL3" i="3"/>
  <c r="AB3" i="3"/>
  <c r="R39" i="3"/>
  <c r="M11" i="2"/>
  <c r="O11" i="2"/>
  <c r="L11" i="2"/>
  <c r="N11" i="2"/>
  <c r="P11" i="2"/>
  <c r="AN4" i="6"/>
  <c r="D7" i="2"/>
  <c r="T4" i="6"/>
  <c r="AJ4" i="6"/>
  <c r="AH32" i="2"/>
  <c r="AO4" i="6"/>
  <c r="AE31" i="2"/>
  <c r="D9" i="2"/>
  <c r="L9" i="2"/>
  <c r="Q5" i="3"/>
  <c r="AH4" i="6"/>
  <c r="AH31" i="2"/>
  <c r="Q5" i="6"/>
  <c r="J6" i="5"/>
  <c r="AJ4" i="3"/>
  <c r="AO4" i="3"/>
  <c r="R4" i="3"/>
  <c r="D4" i="5"/>
  <c r="E6" i="2"/>
  <c r="D8" i="2"/>
  <c r="AH4" i="3"/>
  <c r="O4" i="3"/>
  <c r="AB31" i="2"/>
  <c r="H3" i="5"/>
  <c r="S4" i="6"/>
  <c r="AN4" i="3"/>
  <c r="AG32" i="2"/>
  <c r="T4" i="3"/>
  <c r="Q16" i="6"/>
  <c r="M6" i="2"/>
  <c r="R4" i="6"/>
  <c r="L10" i="2"/>
  <c r="S4" i="3"/>
  <c r="L7" i="2"/>
  <c r="O4" i="6"/>
  <c r="L8" i="2"/>
  <c r="D10" i="2"/>
  <c r="AA32" i="2"/>
  <c r="E4" i="5"/>
  <c r="AE32" i="2"/>
  <c r="AP4" i="6" l="1"/>
  <c r="AP4" i="3"/>
  <c r="AC4" i="3"/>
  <c r="AF4" i="3" s="1"/>
  <c r="D13" i="2"/>
  <c r="L13" i="2"/>
  <c r="P4" i="6"/>
  <c r="P4" i="3"/>
  <c r="U7" i="2"/>
  <c r="C5" i="5"/>
  <c r="B5" i="5"/>
  <c r="F3" i="5"/>
  <c r="AC33" i="2"/>
  <c r="AI33" i="2"/>
  <c r="AF33" i="2"/>
  <c r="AL4" i="6"/>
  <c r="AB4" i="6"/>
  <c r="AC4" i="6"/>
  <c r="AF4" i="6" s="1"/>
  <c r="R40" i="6"/>
  <c r="AB4" i="3"/>
  <c r="AL4" i="3"/>
  <c r="R40" i="3"/>
  <c r="G11" i="2"/>
  <c r="H11" i="2"/>
  <c r="E11" i="2"/>
  <c r="AA18" i="2"/>
  <c r="F11" i="2"/>
  <c r="D11" i="2"/>
  <c r="I11" i="2"/>
  <c r="AO5" i="3"/>
  <c r="E8" i="2"/>
  <c r="AB32" i="2"/>
  <c r="AH33" i="2"/>
  <c r="S5" i="3"/>
  <c r="D5" i="5"/>
  <c r="M8" i="2"/>
  <c r="E7" i="2"/>
  <c r="R5" i="3"/>
  <c r="Q17" i="6"/>
  <c r="S5" i="6"/>
  <c r="AG33" i="2"/>
  <c r="AH5" i="3"/>
  <c r="AE33" i="2"/>
  <c r="AH5" i="6"/>
  <c r="E9" i="2"/>
  <c r="T5" i="3"/>
  <c r="AJ5" i="3"/>
  <c r="M7" i="2"/>
  <c r="AJ5" i="6"/>
  <c r="Q6" i="3"/>
  <c r="F6" i="2"/>
  <c r="O5" i="3"/>
  <c r="H4" i="5"/>
  <c r="M10" i="2"/>
  <c r="AD32" i="2"/>
  <c r="AN5" i="6"/>
  <c r="AB33" i="2"/>
  <c r="T5" i="6"/>
  <c r="N6" i="2"/>
  <c r="AN5" i="3"/>
  <c r="Q6" i="6"/>
  <c r="E10" i="2"/>
  <c r="R5" i="6"/>
  <c r="O5" i="6"/>
  <c r="AO5" i="6"/>
  <c r="M9" i="2"/>
  <c r="E5" i="5"/>
  <c r="AP5" i="6" l="1"/>
  <c r="AP5" i="3"/>
  <c r="AC5" i="3"/>
  <c r="AF5" i="3" s="1"/>
  <c r="E13" i="2"/>
  <c r="M13" i="2"/>
  <c r="P5" i="6"/>
  <c r="P5" i="3"/>
  <c r="V7" i="2"/>
  <c r="C6" i="5"/>
  <c r="B6" i="5"/>
  <c r="F4" i="5"/>
  <c r="AC34" i="2"/>
  <c r="AI34" i="2"/>
  <c r="AF34" i="2"/>
  <c r="AC5" i="6"/>
  <c r="AF5" i="6" s="1"/>
  <c r="AB5" i="6"/>
  <c r="AL5" i="6"/>
  <c r="R41" i="6"/>
  <c r="AL5" i="3"/>
  <c r="AA8" i="3"/>
  <c r="AD8" i="3"/>
  <c r="AG8" i="3" s="1"/>
  <c r="AB5" i="3"/>
  <c r="R41" i="3"/>
  <c r="AA19" i="2"/>
  <c r="AO6" i="6"/>
  <c r="Q7" i="6"/>
  <c r="AH6" i="6"/>
  <c r="Q8" i="6"/>
  <c r="AJ6" i="3"/>
  <c r="AH6" i="3"/>
  <c r="S6" i="3"/>
  <c r="F9" i="2"/>
  <c r="AH34" i="2"/>
  <c r="H5" i="5"/>
  <c r="O6" i="6"/>
  <c r="R6" i="6"/>
  <c r="F7" i="2"/>
  <c r="AN6" i="6"/>
  <c r="N7" i="2"/>
  <c r="AD33" i="2"/>
  <c r="S6" i="6"/>
  <c r="G6" i="2"/>
  <c r="F8" i="2"/>
  <c r="AO6" i="3"/>
  <c r="N10" i="2"/>
  <c r="O6" i="2"/>
  <c r="AN6" i="3"/>
  <c r="N8" i="2"/>
  <c r="F10" i="2"/>
  <c r="R6" i="3"/>
  <c r="D6" i="5"/>
  <c r="T6" i="3"/>
  <c r="AG34" i="2"/>
  <c r="Q18" i="6"/>
  <c r="O6" i="3"/>
  <c r="E6" i="5"/>
  <c r="AJ6" i="6"/>
  <c r="T6" i="6"/>
  <c r="N9" i="2"/>
  <c r="Q7" i="3"/>
  <c r="AA33" i="2"/>
  <c r="AB34" i="2"/>
  <c r="AE34" i="2"/>
  <c r="AP6" i="6" l="1"/>
  <c r="AP6" i="3"/>
  <c r="AC6" i="3"/>
  <c r="AF6" i="3" s="1"/>
  <c r="F13" i="2"/>
  <c r="N13" i="2"/>
  <c r="AD5" i="6"/>
  <c r="AG5" i="6" s="1"/>
  <c r="P6" i="6"/>
  <c r="P6" i="3"/>
  <c r="AD3" i="6"/>
  <c r="AG3" i="6" s="1"/>
  <c r="W7" i="2"/>
  <c r="C8" i="5"/>
  <c r="C7" i="5"/>
  <c r="F5" i="5"/>
  <c r="B7" i="5"/>
  <c r="AC35" i="2"/>
  <c r="AI35" i="2"/>
  <c r="AF35" i="2"/>
  <c r="AF36" i="2"/>
  <c r="AD2" i="6"/>
  <c r="AG2" i="6" s="1"/>
  <c r="AD4" i="6"/>
  <c r="AG4" i="6" s="1"/>
  <c r="AL6" i="6"/>
  <c r="AB6" i="6"/>
  <c r="AC6" i="6"/>
  <c r="AF6" i="6" s="1"/>
  <c r="R42" i="6"/>
  <c r="AA2" i="3"/>
  <c r="AA5" i="3"/>
  <c r="AL6" i="3"/>
  <c r="AA6" i="3"/>
  <c r="AD3" i="3"/>
  <c r="AG3" i="3" s="1"/>
  <c r="AA7" i="3"/>
  <c r="AD6" i="3"/>
  <c r="AG6" i="3" s="1"/>
  <c r="AD7" i="3"/>
  <c r="AG7" i="3" s="1"/>
  <c r="AD2" i="3"/>
  <c r="AG2" i="3" s="1"/>
  <c r="AD5" i="3"/>
  <c r="AG5" i="3" s="1"/>
  <c r="AA3" i="3"/>
  <c r="AA4" i="3"/>
  <c r="AD4" i="3"/>
  <c r="AG4" i="3" s="1"/>
  <c r="AB6" i="3"/>
  <c r="R42" i="3"/>
  <c r="P6" i="2"/>
  <c r="O7" i="6"/>
  <c r="O10" i="2"/>
  <c r="D11" i="5"/>
  <c r="O9" i="2"/>
  <c r="R7" i="3"/>
  <c r="AH35" i="2"/>
  <c r="Q20" i="6"/>
  <c r="G7" i="2"/>
  <c r="S7" i="3"/>
  <c r="O7" i="2"/>
  <c r="AO7" i="6"/>
  <c r="D7" i="5"/>
  <c r="AN7" i="6"/>
  <c r="O8" i="6"/>
  <c r="R7" i="6"/>
  <c r="S8" i="6"/>
  <c r="O7" i="3"/>
  <c r="AD36" i="2"/>
  <c r="AN8" i="6"/>
  <c r="R8" i="6"/>
  <c r="E8" i="5"/>
  <c r="G10" i="2"/>
  <c r="T7" i="3"/>
  <c r="AD34" i="2"/>
  <c r="AG35" i="2"/>
  <c r="AO7" i="3"/>
  <c r="G8" i="2"/>
  <c r="AJ8" i="6"/>
  <c r="Q19" i="6"/>
  <c r="AH7" i="3"/>
  <c r="AO8" i="6"/>
  <c r="AH8" i="6"/>
  <c r="AH7" i="6"/>
  <c r="Q6" i="2"/>
  <c r="H6" i="5"/>
  <c r="AN7" i="3"/>
  <c r="T7" i="6"/>
  <c r="G9" i="2"/>
  <c r="AA34" i="2"/>
  <c r="O8" i="2"/>
  <c r="H6" i="2"/>
  <c r="AJ7" i="6"/>
  <c r="AE35" i="2"/>
  <c r="Q8" i="3"/>
  <c r="T8" i="6"/>
  <c r="S7" i="6"/>
  <c r="AJ7" i="3"/>
  <c r="E7" i="5"/>
  <c r="AB35" i="2"/>
  <c r="AP8" i="6" l="1"/>
  <c r="AP7" i="6"/>
  <c r="AP7" i="3"/>
  <c r="AC7" i="3"/>
  <c r="AF7" i="3" s="1"/>
  <c r="G13" i="2"/>
  <c r="O13" i="2"/>
  <c r="AD6" i="6"/>
  <c r="AG6" i="6" s="1"/>
  <c r="P8" i="6"/>
  <c r="P7" i="6"/>
  <c r="P7" i="3"/>
  <c r="X7" i="2"/>
  <c r="F6" i="5"/>
  <c r="B8" i="5"/>
  <c r="AC36" i="2"/>
  <c r="AI36" i="2"/>
  <c r="AC8" i="6"/>
  <c r="AF8" i="6" s="1"/>
  <c r="AC18" i="6"/>
  <c r="AB18" i="6"/>
  <c r="AB8" i="6"/>
  <c r="AB19" i="6"/>
  <c r="AL8" i="6"/>
  <c r="AB7" i="6"/>
  <c r="AL7" i="6"/>
  <c r="AC7" i="6"/>
  <c r="AF7" i="6" s="1"/>
  <c r="R43" i="6"/>
  <c r="AB7" i="3"/>
  <c r="AL7" i="3"/>
  <c r="R43" i="3"/>
  <c r="P7" i="2"/>
  <c r="AN8" i="3"/>
  <c r="Q10" i="6"/>
  <c r="I6" i="2"/>
  <c r="AO8" i="3"/>
  <c r="AJ8" i="3"/>
  <c r="P9" i="2"/>
  <c r="Q14" i="3"/>
  <c r="AA35" i="2"/>
  <c r="H7" i="2"/>
  <c r="H9" i="2"/>
  <c r="T8" i="3"/>
  <c r="Q10" i="2"/>
  <c r="AH8" i="3"/>
  <c r="Q9" i="2"/>
  <c r="AH36" i="2"/>
  <c r="Q8" i="2"/>
  <c r="H8" i="2"/>
  <c r="S8" i="3"/>
  <c r="Q7" i="2"/>
  <c r="H10" i="2"/>
  <c r="AD35" i="2"/>
  <c r="R8" i="3"/>
  <c r="O8" i="3"/>
  <c r="P8" i="2"/>
  <c r="P10" i="2"/>
  <c r="AB36" i="2"/>
  <c r="Q12" i="3"/>
  <c r="AE36" i="2"/>
  <c r="H7" i="5"/>
  <c r="Q9" i="6"/>
  <c r="D8" i="5"/>
  <c r="AP8" i="3" l="1"/>
  <c r="AC8" i="3"/>
  <c r="AF8" i="3" s="1"/>
  <c r="H13" i="2"/>
  <c r="P13" i="2"/>
  <c r="Q13" i="2"/>
  <c r="AD8" i="6"/>
  <c r="AG8" i="6" s="1"/>
  <c r="AD7" i="6"/>
  <c r="AG7" i="6" s="1"/>
  <c r="P8" i="3"/>
  <c r="Q11" i="3"/>
  <c r="Y7" i="2"/>
  <c r="C9" i="5"/>
  <c r="B9" i="5"/>
  <c r="F7" i="5"/>
  <c r="AC37" i="2"/>
  <c r="AI37" i="2"/>
  <c r="AF38" i="2"/>
  <c r="AF37" i="2"/>
  <c r="R44" i="6"/>
  <c r="AL8" i="3"/>
  <c r="AB8" i="3"/>
  <c r="R44" i="3"/>
  <c r="AH9" i="3"/>
  <c r="Q22" i="6"/>
  <c r="I9" i="2"/>
  <c r="AJ10" i="6"/>
  <c r="AO9" i="6"/>
  <c r="AJ9" i="6"/>
  <c r="T9" i="3"/>
  <c r="E9" i="5"/>
  <c r="D9" i="5"/>
  <c r="R10" i="6"/>
  <c r="AJ9" i="3"/>
  <c r="AG37" i="2"/>
  <c r="AN10" i="6"/>
  <c r="AH10" i="6"/>
  <c r="R9" i="6"/>
  <c r="AN9" i="6"/>
  <c r="S10" i="6"/>
  <c r="H8" i="5"/>
  <c r="AO10" i="6"/>
  <c r="O9" i="3"/>
  <c r="T9" i="6"/>
  <c r="AH9" i="6"/>
  <c r="S6" i="2"/>
  <c r="O10" i="6"/>
  <c r="R6" i="2"/>
  <c r="I7" i="2"/>
  <c r="S9" i="3"/>
  <c r="I8" i="2"/>
  <c r="I10" i="2"/>
  <c r="Q21" i="6"/>
  <c r="O9" i="6"/>
  <c r="AG36" i="2"/>
  <c r="AA36" i="2"/>
  <c r="S9" i="6"/>
  <c r="J6" i="2"/>
  <c r="T10" i="6"/>
  <c r="AE37" i="2"/>
  <c r="AB37" i="2"/>
  <c r="AD38" i="2"/>
  <c r="AL9" i="3" l="1"/>
  <c r="AP9" i="6"/>
  <c r="AP10" i="6"/>
  <c r="AC9" i="3"/>
  <c r="AF9" i="3" s="1"/>
  <c r="I13" i="2"/>
  <c r="P9" i="6"/>
  <c r="P10" i="6"/>
  <c r="P9" i="3"/>
  <c r="J13" i="2" s="1"/>
  <c r="AB9" i="3"/>
  <c r="Z7" i="2"/>
  <c r="F8" i="5"/>
  <c r="AI38" i="2"/>
  <c r="AB10" i="6"/>
  <c r="AB9" i="6"/>
  <c r="AB17" i="6"/>
  <c r="AC9" i="6"/>
  <c r="AF9" i="6" s="1"/>
  <c r="AC10" i="6"/>
  <c r="AF10" i="6" s="1"/>
  <c r="AL9" i="6"/>
  <c r="AL10" i="6"/>
  <c r="R45" i="6"/>
  <c r="R45" i="3"/>
  <c r="J10" i="2"/>
  <c r="S9" i="2"/>
  <c r="S8" i="2"/>
  <c r="R10" i="2"/>
  <c r="AH38" i="2"/>
  <c r="S10" i="2"/>
  <c r="J7" i="2"/>
  <c r="AD37" i="2"/>
  <c r="AA37" i="2"/>
  <c r="J8" i="2"/>
  <c r="AE38" i="2"/>
  <c r="AG38" i="2"/>
  <c r="J9" i="2"/>
  <c r="S7" i="2"/>
  <c r="R7" i="2"/>
  <c r="H9" i="5"/>
  <c r="AH37" i="2"/>
  <c r="R9" i="2"/>
  <c r="R8" i="2"/>
  <c r="S13" i="2" l="1"/>
  <c r="R13" i="2"/>
  <c r="AD10" i="6"/>
  <c r="AG10" i="6" s="1"/>
  <c r="AD9" i="6"/>
  <c r="AG9" i="6" s="1"/>
  <c r="F9" i="5"/>
  <c r="R46" i="6"/>
  <c r="R46" i="3"/>
</calcChain>
</file>

<file path=xl/sharedStrings.xml><?xml version="1.0" encoding="utf-8"?>
<sst xmlns="http://schemas.openxmlformats.org/spreadsheetml/2006/main" count="64" uniqueCount="36">
  <si>
    <t>Bid</t>
  </si>
  <si>
    <t>Ask</t>
  </si>
  <si>
    <t>LastTradeorSettle</t>
  </si>
  <si>
    <t>NetLastQuoteToday</t>
  </si>
  <si>
    <t>Split B&amp;A</t>
  </si>
  <si>
    <t>T</t>
  </si>
  <si>
    <t>Symbol Check</t>
  </si>
  <si>
    <t xml:space="preserve">  </t>
  </si>
  <si>
    <t>Volume</t>
  </si>
  <si>
    <t xml:space="preserve">CHICAGO: </t>
  </si>
  <si>
    <t xml:space="preserve">TOKYO: </t>
  </si>
  <si>
    <t>Designed by Thom Hartle</t>
  </si>
  <si>
    <t>NEW YORK:</t>
  </si>
  <si>
    <t>#</t>
  </si>
  <si>
    <t>#.0</t>
  </si>
  <si>
    <t>#.00</t>
  </si>
  <si>
    <t>#.000</t>
  </si>
  <si>
    <t>#.0000</t>
  </si>
  <si>
    <t>FVS</t>
  </si>
  <si>
    <t>VX</t>
  </si>
  <si>
    <t>VIX vs VSTOXX Spread (1:00 - 4:00)</t>
  </si>
  <si>
    <t>Spot</t>
  </si>
  <si>
    <t>Days</t>
  </si>
  <si>
    <t>Adjusted Basis</t>
  </si>
  <si>
    <t>Open</t>
  </si>
  <si>
    <t>High</t>
  </si>
  <si>
    <t>Low</t>
  </si>
  <si>
    <t>Days to Expiration</t>
  </si>
  <si>
    <t xml:space="preserve">  Copyright © 2013</t>
  </si>
  <si>
    <t xml:space="preserve">Last: </t>
  </si>
  <si>
    <t>Last</t>
  </si>
  <si>
    <t>Vol</t>
  </si>
  <si>
    <t>Q.FVSVXSpread</t>
  </si>
  <si>
    <t>=</t>
  </si>
  <si>
    <t>Mini VSTOXX  - VIX Futures Spread, Daily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</si>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</sst>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4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20"/>
      <color theme="0"/>
      <name val="Tahoma"/>
      <family val="2"/>
    </font>
    <font>
      <b/>
      <sz val="9.5"/>
      <color theme="1"/>
      <name val="Tahoma"/>
      <family val="2"/>
    </font>
    <font>
      <b/>
      <sz val="8.5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b/>
      <sz val="14"/>
      <color theme="0"/>
      <name val="Tahoma"/>
      <family val="2"/>
    </font>
    <font>
      <sz val="12"/>
      <color rgb="FF00B050"/>
      <name val="Century Gothic"/>
      <family val="2"/>
    </font>
    <font>
      <sz val="10"/>
      <color rgb="FF00B050"/>
      <name val="Century Gothic"/>
      <family val="2"/>
    </font>
    <font>
      <b/>
      <sz val="11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3" tint="0.59999389629810485"/>
        </stop>
        <stop position="0.5">
          <color theme="0"/>
        </stop>
        <stop position="1">
          <color theme="3" tint="0.59999389629810485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</fills>
  <borders count="48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/>
      <right/>
      <top style="medium">
        <color rgb="FF7D0000"/>
      </top>
      <bottom/>
      <diagonal/>
    </border>
    <border>
      <left/>
      <right style="medium">
        <color rgb="FF7D0000"/>
      </right>
      <top style="medium">
        <color rgb="FF7D0000"/>
      </top>
      <bottom/>
      <diagonal/>
    </border>
    <border>
      <left style="thin">
        <color rgb="FF7D0000"/>
      </left>
      <right style="thin">
        <color rgb="FF7D0000"/>
      </right>
      <top style="medium">
        <color rgb="FF7D0000"/>
      </top>
      <bottom style="thin">
        <color rgb="FF7D0000"/>
      </bottom>
      <diagonal/>
    </border>
    <border>
      <left style="thin">
        <color rgb="FF7D0000"/>
      </left>
      <right style="medium">
        <color rgb="FF7D0000"/>
      </right>
      <top style="medium">
        <color rgb="FF7D0000"/>
      </top>
      <bottom style="thin">
        <color rgb="FF7D0000"/>
      </bottom>
      <diagonal/>
    </border>
    <border>
      <left style="medium">
        <color rgb="FF7D0000"/>
      </left>
      <right style="thin">
        <color rgb="FF7D0000"/>
      </right>
      <top style="thin">
        <color rgb="FF7D0000"/>
      </top>
      <bottom style="thin">
        <color rgb="FF7D0000"/>
      </bottom>
      <diagonal/>
    </border>
    <border>
      <left style="thin">
        <color rgb="FF7D0000"/>
      </left>
      <right style="thin">
        <color rgb="FF7D0000"/>
      </right>
      <top style="thin">
        <color rgb="FF7D0000"/>
      </top>
      <bottom style="thin">
        <color rgb="FF7D0000"/>
      </bottom>
      <diagonal/>
    </border>
    <border>
      <left style="thin">
        <color rgb="FF7D0000"/>
      </left>
      <right style="medium">
        <color rgb="FF7D0000"/>
      </right>
      <top style="thin">
        <color rgb="FF7D0000"/>
      </top>
      <bottom style="thin">
        <color rgb="FF7D0000"/>
      </bottom>
      <diagonal/>
    </border>
    <border>
      <left style="medium">
        <color rgb="FF7D0000"/>
      </left>
      <right style="thin">
        <color rgb="FF7D0000"/>
      </right>
      <top style="thin">
        <color rgb="FF7D0000"/>
      </top>
      <bottom style="medium">
        <color rgb="FF7D0000"/>
      </bottom>
      <diagonal/>
    </border>
    <border>
      <left style="thin">
        <color rgb="FF7D0000"/>
      </left>
      <right style="thin">
        <color rgb="FF7D0000"/>
      </right>
      <top style="thin">
        <color rgb="FF7D0000"/>
      </top>
      <bottom style="medium">
        <color rgb="FF7D0000"/>
      </bottom>
      <diagonal/>
    </border>
    <border>
      <left style="thin">
        <color rgb="FF7D0000"/>
      </left>
      <right style="medium">
        <color rgb="FF7D0000"/>
      </right>
      <top style="thin">
        <color rgb="FF7D0000"/>
      </top>
      <bottom style="medium">
        <color rgb="FF7D0000"/>
      </bottom>
      <diagonal/>
    </border>
    <border>
      <left style="medium">
        <color rgb="FF7D0000"/>
      </left>
      <right/>
      <top style="medium">
        <color rgb="FF7D0000"/>
      </top>
      <bottom/>
      <diagonal/>
    </border>
    <border>
      <left style="medium">
        <color rgb="FF7D0000"/>
      </left>
      <right/>
      <top/>
      <bottom/>
      <diagonal/>
    </border>
    <border>
      <left/>
      <right style="medium">
        <color rgb="FF7D0000"/>
      </right>
      <top/>
      <bottom/>
      <diagonal/>
    </border>
    <border>
      <left style="medium">
        <color rgb="FF7D0000"/>
      </left>
      <right/>
      <top style="medium">
        <color theme="4"/>
      </top>
      <bottom style="medium">
        <color rgb="FF7D0000"/>
      </bottom>
      <diagonal/>
    </border>
    <border>
      <left/>
      <right/>
      <top style="medium">
        <color theme="4"/>
      </top>
      <bottom style="medium">
        <color rgb="FF7D0000"/>
      </bottom>
      <diagonal/>
    </border>
    <border>
      <left/>
      <right style="medium">
        <color rgb="FF7D0000"/>
      </right>
      <top style="medium">
        <color theme="4"/>
      </top>
      <bottom style="medium">
        <color rgb="FF7D0000"/>
      </bottom>
      <diagonal/>
    </border>
    <border>
      <left style="medium">
        <color rgb="FF7D0000"/>
      </left>
      <right style="thin">
        <color rgb="FF7D0000"/>
      </right>
      <top style="medium">
        <color rgb="FF7D0000"/>
      </top>
      <bottom/>
      <diagonal/>
    </border>
    <border>
      <left style="medium">
        <color rgb="FF7D0000"/>
      </left>
      <right style="thin">
        <color rgb="FF7D0000"/>
      </right>
      <top/>
      <bottom style="thin">
        <color rgb="FF7D0000"/>
      </bottom>
      <diagonal/>
    </border>
    <border>
      <left style="medium">
        <color rgb="FF7D0000"/>
      </left>
      <right/>
      <top/>
      <bottom style="medium">
        <color rgb="FF7D0000"/>
      </bottom>
      <diagonal/>
    </border>
    <border>
      <left/>
      <right/>
      <top/>
      <bottom style="medium">
        <color rgb="FF7D0000"/>
      </bottom>
      <diagonal/>
    </border>
    <border>
      <left/>
      <right style="medium">
        <color rgb="FF7D0000"/>
      </right>
      <top/>
      <bottom style="medium">
        <color rgb="FF7D0000"/>
      </bottom>
      <diagonal/>
    </border>
    <border>
      <left style="thin">
        <color rgb="FF7D0000"/>
      </left>
      <right/>
      <top style="thin">
        <color rgb="FF7D0000"/>
      </top>
      <bottom style="thin">
        <color rgb="FF7D0000"/>
      </bottom>
      <diagonal/>
    </border>
    <border>
      <left style="thin">
        <color rgb="FF7D0000"/>
      </left>
      <right/>
      <top style="thin">
        <color rgb="FF7D0000"/>
      </top>
      <bottom style="medium">
        <color rgb="FF7D0000"/>
      </bottom>
      <diagonal/>
    </border>
    <border>
      <left style="thin">
        <color rgb="FF7D0000"/>
      </left>
      <right style="medium">
        <color rgb="FF7D0000"/>
      </right>
      <top style="thin">
        <color rgb="FF7D0000"/>
      </top>
      <bottom/>
      <diagonal/>
    </border>
    <border>
      <left style="medium">
        <color rgb="FF7D0000"/>
      </left>
      <right style="thin">
        <color rgb="FF7D0000"/>
      </right>
      <top style="medium">
        <color rgb="FF7D0000"/>
      </top>
      <bottom style="thin">
        <color rgb="FF7D0000"/>
      </bottom>
      <diagonal/>
    </border>
    <border>
      <left/>
      <right style="thin">
        <color rgb="FF7D0000"/>
      </right>
      <top style="medium">
        <color rgb="FF7D0000"/>
      </top>
      <bottom/>
      <diagonal/>
    </border>
    <border>
      <left/>
      <right style="thin">
        <color rgb="FF7D0000"/>
      </right>
      <top/>
      <bottom/>
      <diagonal/>
    </border>
    <border>
      <left/>
      <right style="thin">
        <color rgb="FF7D0000"/>
      </right>
      <top/>
      <bottom style="thin">
        <color rgb="FF7D0000"/>
      </bottom>
      <diagonal/>
    </border>
    <border>
      <left/>
      <right style="thin">
        <color rgb="FF7D0000"/>
      </right>
      <top style="thin">
        <color rgb="FF7D0000"/>
      </top>
      <bottom style="thin">
        <color rgb="FF7D0000"/>
      </bottom>
      <diagonal/>
    </border>
    <border>
      <left/>
      <right style="thin">
        <color rgb="FF7D0000"/>
      </right>
      <top style="thin">
        <color rgb="FF7D0000"/>
      </top>
      <bottom style="medium">
        <color rgb="FF7D0000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medium">
        <color rgb="FF7D0000"/>
      </right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7D0000"/>
      </left>
      <right style="thin">
        <color rgb="FF7D0000"/>
      </right>
      <top style="thin">
        <color rgb="FF7D0000"/>
      </top>
      <bottom/>
      <diagonal/>
    </border>
    <border>
      <left style="thin">
        <color rgb="FF7D0000"/>
      </left>
      <right style="thin">
        <color rgb="FF7D0000"/>
      </right>
      <top style="thin">
        <color rgb="FF7D0000"/>
      </top>
      <bottom/>
      <diagonal/>
    </border>
    <border>
      <left style="thin">
        <color rgb="FF7D0000"/>
      </left>
      <right/>
      <top style="thin">
        <color rgb="FF7D0000"/>
      </top>
      <bottom/>
      <diagonal/>
    </border>
    <border>
      <left/>
      <right/>
      <top style="thin">
        <color rgb="FF7D000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7D0000"/>
      </left>
      <right/>
      <top/>
      <bottom style="medium">
        <color rgb="FF002060"/>
      </bottom>
      <diagonal/>
    </border>
    <border>
      <left/>
      <right style="medium">
        <color rgb="FF7D0000"/>
      </right>
      <top/>
      <bottom style="medium">
        <color rgb="FF002060"/>
      </bottom>
      <diagonal/>
    </border>
    <border>
      <left/>
      <right style="medium">
        <color rgb="FF7D0000"/>
      </right>
      <top style="thin">
        <color rgb="FF7D0000"/>
      </top>
      <bottom/>
      <diagonal/>
    </border>
    <border>
      <left/>
      <right/>
      <top style="medium">
        <color rgb="FF7D0000"/>
      </top>
      <bottom style="medium">
        <color rgb="FF002060"/>
      </bottom>
      <diagonal/>
    </border>
    <border>
      <left style="thin">
        <color rgb="FF7D0000"/>
      </left>
      <right/>
      <top/>
      <bottom style="medium">
        <color rgb="FF7D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92">
    <xf numFmtId="0" fontId="0" fillId="0" borderId="0" xfId="0"/>
    <xf numFmtId="0" fontId="2" fillId="2" borderId="0" xfId="0" applyFont="1" applyFill="1"/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4" fillId="5" borderId="0" xfId="0" applyFont="1" applyFill="1"/>
    <xf numFmtId="2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2" fontId="4" fillId="5" borderId="0" xfId="0" applyNumberFormat="1" applyFont="1" applyFill="1"/>
    <xf numFmtId="2" fontId="0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right"/>
    </xf>
    <xf numFmtId="2" fontId="0" fillId="5" borderId="0" xfId="0" applyNumberFormat="1" applyFont="1" applyFill="1"/>
    <xf numFmtId="0" fontId="0" fillId="5" borderId="0" xfId="0" applyFont="1" applyFill="1" applyAlignment="1">
      <alignment horizontal="right"/>
    </xf>
    <xf numFmtId="0" fontId="2" fillId="3" borderId="0" xfId="0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2" fontId="2" fillId="3" borderId="0" xfId="0" applyNumberFormat="1" applyFont="1" applyFill="1" applyBorder="1" applyAlignment="1">
      <alignment horizontal="center" shrinkToFit="1"/>
    </xf>
    <xf numFmtId="2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shrinkToFit="1"/>
    </xf>
    <xf numFmtId="0" fontId="6" fillId="2" borderId="0" xfId="0" applyFont="1" applyFill="1"/>
    <xf numFmtId="0" fontId="0" fillId="2" borderId="0" xfId="0" applyFont="1" applyFill="1"/>
    <xf numFmtId="0" fontId="2" fillId="4" borderId="0" xfId="0" applyFont="1" applyFill="1" applyBorder="1" applyAlignment="1">
      <alignment horizontal="center" shrinkToFit="1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8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0" fontId="2" fillId="2" borderId="0" xfId="0" applyFont="1" applyFill="1" applyBorder="1"/>
    <xf numFmtId="0" fontId="2" fillId="2" borderId="15" xfId="0" applyFont="1" applyFill="1" applyBorder="1"/>
    <xf numFmtId="0" fontId="7" fillId="8" borderId="17" xfId="1" applyFont="1" applyFill="1" applyBorder="1" applyAlignment="1">
      <alignment vertical="center"/>
    </xf>
    <xf numFmtId="0" fontId="7" fillId="8" borderId="18" xfId="1" applyFont="1" applyFill="1" applyBorder="1" applyAlignment="1">
      <alignment vertical="center"/>
    </xf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1" fontId="2" fillId="3" borderId="27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 shrinkToFit="1"/>
    </xf>
    <xf numFmtId="2" fontId="2" fillId="3" borderId="8" xfId="0" applyNumberFormat="1" applyFont="1" applyFill="1" applyBorder="1" applyAlignment="1">
      <alignment horizontal="center" shrinkToFit="1"/>
    </xf>
    <xf numFmtId="2" fontId="2" fillId="3" borderId="9" xfId="0" applyNumberFormat="1" applyFont="1" applyFill="1" applyBorder="1" applyAlignment="1">
      <alignment horizontal="center" shrinkToFit="1"/>
    </xf>
    <xf numFmtId="0" fontId="2" fillId="3" borderId="7" xfId="0" applyFont="1" applyFill="1" applyBorder="1" applyAlignment="1">
      <alignment horizontal="center" shrinkToFit="1"/>
    </xf>
    <xf numFmtId="0" fontId="2" fillId="3" borderId="8" xfId="0" applyFont="1" applyFill="1" applyBorder="1" applyAlignment="1">
      <alignment horizontal="center" shrinkToFit="1"/>
    </xf>
    <xf numFmtId="0" fontId="2" fillId="3" borderId="9" xfId="0" applyFont="1" applyFill="1" applyBorder="1" applyAlignment="1">
      <alignment horizontal="center" shrinkToFit="1"/>
    </xf>
    <xf numFmtId="0" fontId="2" fillId="3" borderId="11" xfId="0" applyFont="1" applyFill="1" applyBorder="1" applyAlignment="1">
      <alignment horizontal="center" shrinkToFit="1"/>
    </xf>
    <xf numFmtId="0" fontId="2" fillId="3" borderId="12" xfId="0" applyFont="1" applyFill="1" applyBorder="1" applyAlignment="1">
      <alignment horizontal="center" shrinkToFit="1"/>
    </xf>
    <xf numFmtId="14" fontId="0" fillId="5" borderId="0" xfId="0" applyNumberFormat="1" applyFont="1" applyFill="1"/>
    <xf numFmtId="1" fontId="4" fillId="5" borderId="0" xfId="0" applyNumberFormat="1" applyFont="1" applyFill="1"/>
    <xf numFmtId="0" fontId="2" fillId="3" borderId="30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2" fontId="2" fillId="2" borderId="31" xfId="0" applyNumberFormat="1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shrinkToFit="1"/>
    </xf>
    <xf numFmtId="0" fontId="2" fillId="4" borderId="34" xfId="0" applyFont="1" applyFill="1" applyBorder="1" applyAlignment="1">
      <alignment horizontal="center" shrinkToFit="1"/>
    </xf>
    <xf numFmtId="0" fontId="2" fillId="3" borderId="15" xfId="0" applyFont="1" applyFill="1" applyBorder="1" applyAlignment="1">
      <alignment horizontal="center" shrinkToFit="1"/>
    </xf>
    <xf numFmtId="2" fontId="2" fillId="3" borderId="15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 shrinkToFit="1"/>
    </xf>
    <xf numFmtId="1" fontId="2" fillId="3" borderId="9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shrinkToFit="1"/>
    </xf>
    <xf numFmtId="2" fontId="2" fillId="3" borderId="11" xfId="0" applyNumberFormat="1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shrinkToFit="1"/>
    </xf>
    <xf numFmtId="0" fontId="2" fillId="4" borderId="33" xfId="0" applyFont="1" applyFill="1" applyBorder="1" applyAlignment="1">
      <alignment horizontal="center" shrinkToFit="1"/>
    </xf>
    <xf numFmtId="2" fontId="2" fillId="3" borderId="37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 shrinkToFit="1"/>
    </xf>
    <xf numFmtId="2" fontId="2" fillId="3" borderId="15" xfId="0" applyNumberFormat="1" applyFont="1" applyFill="1" applyBorder="1" applyAlignment="1">
      <alignment horizontal="center" shrinkToFit="1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shrinkToFit="1"/>
    </xf>
    <xf numFmtId="2" fontId="2" fillId="2" borderId="2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2" fontId="2" fillId="3" borderId="13" xfId="0" applyNumberFormat="1" applyFont="1" applyFill="1" applyBorder="1" applyAlignment="1">
      <alignment horizontal="center" shrinkToFit="1"/>
    </xf>
    <xf numFmtId="2" fontId="2" fillId="3" borderId="3" xfId="0" applyNumberFormat="1" applyFont="1" applyFill="1" applyBorder="1" applyAlignment="1">
      <alignment horizontal="center" shrinkToFit="1"/>
    </xf>
    <xf numFmtId="0" fontId="2" fillId="3" borderId="14" xfId="0" applyFont="1" applyFill="1" applyBorder="1" applyAlignment="1">
      <alignment horizontal="center"/>
    </xf>
    <xf numFmtId="2" fontId="2" fillId="3" borderId="21" xfId="0" applyNumberFormat="1" applyFont="1" applyFill="1" applyBorder="1" applyAlignment="1">
      <alignment horizontal="center" shrinkToFit="1"/>
    </xf>
    <xf numFmtId="2" fontId="2" fillId="3" borderId="22" xfId="0" applyNumberFormat="1" applyFont="1" applyFill="1" applyBorder="1" applyAlignment="1">
      <alignment horizontal="center" shrinkToFit="1"/>
    </xf>
    <xf numFmtId="2" fontId="2" fillId="2" borderId="1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2" fillId="3" borderId="21" xfId="0" applyNumberFormat="1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center"/>
    </xf>
    <xf numFmtId="1" fontId="2" fillId="3" borderId="24" xfId="0" applyNumberFormat="1" applyFont="1" applyFill="1" applyBorder="1" applyAlignment="1">
      <alignment horizontal="center"/>
    </xf>
    <xf numFmtId="2" fontId="2" fillId="3" borderId="39" xfId="0" applyNumberFormat="1" applyFont="1" applyFill="1" applyBorder="1" applyAlignment="1">
      <alignment horizontal="center"/>
    </xf>
    <xf numFmtId="0" fontId="6" fillId="2" borderId="4" xfId="0" applyFont="1" applyFill="1" applyBorder="1"/>
    <xf numFmtId="2" fontId="2" fillId="3" borderId="14" xfId="0" applyNumberFormat="1" applyFont="1" applyFill="1" applyBorder="1" applyAlignment="1">
      <alignment horizontal="right"/>
    </xf>
    <xf numFmtId="0" fontId="6" fillId="2" borderId="15" xfId="0" applyFont="1" applyFill="1" applyBorder="1"/>
    <xf numFmtId="0" fontId="2" fillId="3" borderId="14" xfId="0" applyFont="1" applyFill="1" applyBorder="1" applyAlignment="1">
      <alignment horizontal="right"/>
    </xf>
    <xf numFmtId="2" fontId="2" fillId="2" borderId="14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22" xfId="0" applyFont="1" applyFill="1" applyBorder="1"/>
    <xf numFmtId="0" fontId="6" fillId="2" borderId="23" xfId="0" applyFont="1" applyFill="1" applyBorder="1"/>
    <xf numFmtId="0" fontId="2" fillId="3" borderId="3" xfId="0" applyFont="1" applyFill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2" fillId="3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2" fontId="2" fillId="2" borderId="40" xfId="0" applyNumberFormat="1" applyFont="1" applyFill="1" applyBorder="1" applyAlignment="1">
      <alignment horizontal="center"/>
    </xf>
    <xf numFmtId="2" fontId="2" fillId="2" borderId="44" xfId="0" applyNumberFormat="1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5" fillId="3" borderId="14" xfId="0" applyFont="1" applyFill="1" applyBorder="1" applyAlignment="1" applyProtection="1">
      <alignment vertical="center" shrinkToFit="1"/>
    </xf>
    <xf numFmtId="0" fontId="5" fillId="3" borderId="0" xfId="0" applyFont="1" applyFill="1" applyBorder="1" applyAlignment="1" applyProtection="1">
      <alignment vertical="center" shrinkToFit="1"/>
    </xf>
    <xf numFmtId="2" fontId="0" fillId="0" borderId="0" xfId="0" applyNumberFormat="1"/>
    <xf numFmtId="14" fontId="0" fillId="0" borderId="0" xfId="0" applyNumberFormat="1"/>
    <xf numFmtId="0" fontId="11" fillId="7" borderId="35" xfId="1" applyFont="1" applyFill="1" applyBorder="1" applyAlignment="1">
      <alignment horizontal="right" vertical="center"/>
    </xf>
    <xf numFmtId="164" fontId="11" fillId="7" borderId="35" xfId="0" applyNumberFormat="1" applyFont="1" applyFill="1" applyBorder="1" applyAlignment="1">
      <alignment horizontal="center" vertical="center" shrinkToFit="1"/>
    </xf>
    <xf numFmtId="164" fontId="11" fillId="7" borderId="35" xfId="0" applyNumberFormat="1" applyFont="1" applyFill="1" applyBorder="1" applyAlignment="1">
      <alignment horizontal="left" vertical="center"/>
    </xf>
    <xf numFmtId="0" fontId="11" fillId="7" borderId="40" xfId="1" applyFont="1" applyFill="1" applyBorder="1" applyAlignment="1">
      <alignment horizontal="right" vertical="center"/>
    </xf>
    <xf numFmtId="0" fontId="11" fillId="7" borderId="41" xfId="1" applyFont="1" applyFill="1" applyBorder="1" applyAlignment="1">
      <alignment horizontal="right" vertical="center"/>
    </xf>
    <xf numFmtId="0" fontId="13" fillId="11" borderId="5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2" fontId="13" fillId="10" borderId="11" xfId="0" applyNumberFormat="1" applyFont="1" applyFill="1" applyBorder="1" applyAlignment="1">
      <alignment horizontal="center"/>
    </xf>
    <xf numFmtId="2" fontId="13" fillId="10" borderId="12" xfId="0" applyNumberFormat="1" applyFont="1" applyFill="1" applyBorder="1" applyAlignment="1">
      <alignment horizontal="center"/>
    </xf>
    <xf numFmtId="0" fontId="7" fillId="8" borderId="16" xfId="1" applyFont="1" applyFill="1" applyBorder="1" applyAlignment="1">
      <alignment horizontal="center" vertical="center"/>
    </xf>
    <xf numFmtId="0" fontId="7" fillId="8" borderId="17" xfId="1" applyFont="1" applyFill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center" vertical="center" shrinkToFit="1"/>
    </xf>
    <xf numFmtId="0" fontId="5" fillId="7" borderId="6" xfId="0" applyFont="1" applyFill="1" applyBorder="1" applyAlignment="1" applyProtection="1">
      <alignment horizontal="center" vertical="center" shrinkToFit="1"/>
    </xf>
    <xf numFmtId="0" fontId="5" fillId="7" borderId="8" xfId="0" applyFont="1" applyFill="1" applyBorder="1" applyAlignment="1" applyProtection="1">
      <alignment horizontal="center" vertical="center" shrinkToFit="1"/>
    </xf>
    <xf numFmtId="0" fontId="5" fillId="7" borderId="9" xfId="0" applyFont="1" applyFill="1" applyBorder="1" applyAlignment="1" applyProtection="1">
      <alignment horizontal="center" vertical="center" shrinkToFit="1"/>
    </xf>
    <xf numFmtId="0" fontId="12" fillId="7" borderId="40" xfId="1" applyFont="1" applyFill="1" applyBorder="1" applyAlignment="1">
      <alignment horizontal="center" vertical="center"/>
    </xf>
    <xf numFmtId="164" fontId="11" fillId="7" borderId="35" xfId="0" applyNumberFormat="1" applyFont="1" applyFill="1" applyBorder="1" applyAlignment="1">
      <alignment horizontal="left" vertical="center"/>
    </xf>
    <xf numFmtId="0" fontId="5" fillId="7" borderId="13" xfId="0" applyFont="1" applyFill="1" applyBorder="1" applyAlignment="1" applyProtection="1">
      <alignment horizontal="center" vertical="center" shrinkToFit="1"/>
    </xf>
    <xf numFmtId="0" fontId="5" fillId="7" borderId="3" xfId="0" applyFont="1" applyFill="1" applyBorder="1" applyAlignment="1" applyProtection="1">
      <alignment horizontal="center" vertical="center" shrinkToFit="1"/>
    </xf>
    <xf numFmtId="0" fontId="5" fillId="7" borderId="4" xfId="0" applyFont="1" applyFill="1" applyBorder="1" applyAlignment="1" applyProtection="1">
      <alignment horizontal="center" vertical="center" shrinkToFit="1"/>
    </xf>
    <xf numFmtId="0" fontId="5" fillId="7" borderId="21" xfId="0" applyFont="1" applyFill="1" applyBorder="1" applyAlignment="1" applyProtection="1">
      <alignment horizontal="center" vertical="center" shrinkToFit="1"/>
    </xf>
    <xf numFmtId="0" fontId="5" fillId="7" borderId="22" xfId="0" applyFont="1" applyFill="1" applyBorder="1" applyAlignment="1" applyProtection="1">
      <alignment horizontal="center" vertical="center" shrinkToFit="1"/>
    </xf>
    <xf numFmtId="0" fontId="5" fillId="7" borderId="23" xfId="0" applyFont="1" applyFill="1" applyBorder="1" applyAlignment="1" applyProtection="1">
      <alignment horizontal="center" vertical="center" shrinkToFit="1"/>
    </xf>
    <xf numFmtId="0" fontId="6" fillId="6" borderId="2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2" fontId="9" fillId="9" borderId="8" xfId="0" applyNumberFormat="1" applyFont="1" applyFill="1" applyBorder="1" applyAlignment="1">
      <alignment horizontal="right" vertical="center"/>
    </xf>
    <xf numFmtId="2" fontId="9" fillId="9" borderId="37" xfId="0" applyNumberFormat="1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12" fillId="7" borderId="42" xfId="1" applyFont="1" applyFill="1" applyBorder="1" applyAlignment="1">
      <alignment horizontal="left" vertical="center"/>
    </xf>
    <xf numFmtId="0" fontId="12" fillId="7" borderId="40" xfId="1" applyFont="1" applyFill="1" applyBorder="1" applyAlignment="1">
      <alignment horizontal="left" vertical="center"/>
    </xf>
    <xf numFmtId="0" fontId="8" fillId="7" borderId="19" xfId="0" applyFont="1" applyFill="1" applyBorder="1" applyAlignment="1" applyProtection="1">
      <alignment horizontal="center" vertical="center"/>
    </xf>
    <xf numFmtId="0" fontId="8" fillId="7" borderId="20" xfId="0" applyFont="1" applyFill="1" applyBorder="1" applyAlignment="1" applyProtection="1">
      <alignment horizontal="center" vertical="center"/>
    </xf>
    <xf numFmtId="0" fontId="8" fillId="7" borderId="28" xfId="0" applyFont="1" applyFill="1" applyBorder="1" applyAlignment="1" applyProtection="1">
      <alignment horizontal="center" vertical="center"/>
    </xf>
    <xf numFmtId="0" fontId="8" fillId="7" borderId="29" xfId="0" applyFont="1" applyFill="1" applyBorder="1" applyAlignment="1" applyProtection="1">
      <alignment horizontal="center" vertical="center"/>
    </xf>
    <xf numFmtId="2" fontId="9" fillId="9" borderId="7" xfId="0" applyNumberFormat="1" applyFont="1" applyFill="1" applyBorder="1" applyAlignment="1">
      <alignment horizontal="center" vertical="center"/>
    </xf>
    <xf numFmtId="2" fontId="9" fillId="9" borderId="10" xfId="0" applyNumberFormat="1" applyFont="1" applyFill="1" applyBorder="1" applyAlignment="1">
      <alignment horizontal="center" vertical="center"/>
    </xf>
    <xf numFmtId="2" fontId="9" fillId="9" borderId="11" xfId="0" applyNumberFormat="1" applyFont="1" applyFill="1" applyBorder="1" applyAlignment="1">
      <alignment horizontal="right" vertical="center"/>
    </xf>
    <xf numFmtId="2" fontId="9" fillId="9" borderId="36" xfId="0" applyNumberFormat="1" applyFont="1" applyFill="1" applyBorder="1" applyAlignment="1">
      <alignment horizontal="center" vertical="center"/>
    </xf>
    <xf numFmtId="164" fontId="11" fillId="7" borderId="35" xfId="1" applyNumberFormat="1" applyFont="1" applyFill="1" applyBorder="1" applyAlignment="1">
      <alignment horizontal="left" vertical="center"/>
    </xf>
    <xf numFmtId="0" fontId="11" fillId="7" borderId="46" xfId="1" applyFont="1" applyFill="1" applyBorder="1" applyAlignment="1">
      <alignment horizontal="right" vertical="center" shrinkToFit="1"/>
    </xf>
    <xf numFmtId="2" fontId="10" fillId="3" borderId="38" xfId="0" applyNumberFormat="1" applyFont="1" applyFill="1" applyBorder="1" applyAlignment="1">
      <alignment horizontal="left" vertical="center"/>
    </xf>
    <xf numFmtId="2" fontId="10" fillId="3" borderId="39" xfId="0" applyNumberFormat="1" applyFont="1" applyFill="1" applyBorder="1" applyAlignment="1">
      <alignment horizontal="left" vertical="center"/>
    </xf>
    <xf numFmtId="2" fontId="10" fillId="3" borderId="45" xfId="0" applyNumberFormat="1" applyFont="1" applyFill="1" applyBorder="1" applyAlignment="1">
      <alignment horizontal="left" vertical="center"/>
    </xf>
    <xf numFmtId="2" fontId="10" fillId="3" borderId="47" xfId="0" applyNumberFormat="1" applyFont="1" applyFill="1" applyBorder="1" applyAlignment="1">
      <alignment horizontal="left" vertical="center"/>
    </xf>
    <xf numFmtId="2" fontId="10" fillId="3" borderId="22" xfId="0" applyNumberFormat="1" applyFont="1" applyFill="1" applyBorder="1" applyAlignment="1">
      <alignment horizontal="left" vertical="center"/>
    </xf>
    <xf numFmtId="2" fontId="10" fillId="3" borderId="23" xfId="0" applyNumberFormat="1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wrapText="1" readingOrder="1"/>
    </xf>
    <xf numFmtId="0" fontId="13" fillId="9" borderId="3" xfId="0" applyFont="1" applyFill="1" applyBorder="1" applyAlignment="1">
      <alignment horizontal="center" wrapText="1" readingOrder="1"/>
    </xf>
    <xf numFmtId="0" fontId="13" fillId="9" borderId="14" xfId="0" applyFont="1" applyFill="1" applyBorder="1" applyAlignment="1">
      <alignment horizontal="center" wrapText="1" readingOrder="1"/>
    </xf>
    <xf numFmtId="0" fontId="13" fillId="9" borderId="0" xfId="0" applyFont="1" applyFill="1" applyBorder="1" applyAlignment="1">
      <alignment horizontal="center" wrapText="1" readingOrder="1"/>
    </xf>
    <xf numFmtId="164" fontId="11" fillId="7" borderId="40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11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19.84</v>
        <stp/>
        <stp>ContractData</stp>
        <stp>FVSN3</stp>
        <stp>Settlement</stp>
        <stp/>
        <stp>T</stp>
        <tr r="AJ13" s="3"/>
        <tr r="AJ2" s="3"/>
      </tp>
      <tp>
        <v>20.55</v>
        <stp/>
        <stp>ContractData</stp>
        <stp>FVSQ3</stp>
        <stp>Settlement</stp>
        <stp/>
        <stp>T</stp>
        <tr r="AJ3" s="3"/>
      </tp>
      <tp>
        <v>21.55</v>
        <stp/>
        <stp>ContractData</stp>
        <stp>FVSU3</stp>
        <stp>Settlement</stp>
        <stp/>
        <stp>T</stp>
        <tr r="AJ4" s="3"/>
      </tp>
      <tp>
        <v>22.1</v>
        <stp/>
        <stp>ContractData</stp>
        <stp>FVSV3</stp>
        <stp>Settlement</stp>
        <stp/>
        <stp>T</stp>
        <tr r="AJ5" s="3"/>
      </tp>
      <tp>
        <v>22.7</v>
        <stp/>
        <stp>ContractData</stp>
        <stp>FVSX3</stp>
        <stp>Settlement</stp>
        <stp/>
        <stp>T</stp>
        <tr r="AJ6" s="3"/>
      </tp>
      <tp>
        <v>22</v>
        <stp/>
        <stp>ContractData</stp>
        <stp>FVSZ3</stp>
        <stp>Settlement</stp>
        <stp/>
        <stp>T</stp>
        <tr r="AJ7" s="3"/>
      </tp>
      <tp>
        <v>4.55</v>
        <stp/>
        <stp>StudyData</stp>
        <stp>Consolidate(FVS?1-VX?1,5X,FVS?1-VX?1,1,0)</stp>
        <stp>Bar</stp>
        <stp/>
        <stp>Last</stp>
        <stp>D</stp>
        <stp>-17</stp>
        <stp/>
        <stp/>
        <stp/>
        <stp/>
        <stp>T</stp>
        <tr r="V19" s="4"/>
      </tp>
      <tp>
        <v>3.4</v>
        <stp/>
        <stp>StudyData</stp>
        <stp>Consolidate(FVS?1-VX?1,5X,FVS?1-VX?1,1,0)</stp>
        <stp>Bar</stp>
        <stp/>
        <stp>Last</stp>
        <stp>D</stp>
        <stp>-27</stp>
        <stp/>
        <stp/>
        <stp/>
        <stp/>
        <stp>T</stp>
        <tr r="V29" s="4"/>
      </tp>
      <tp>
        <v>4.45</v>
        <stp/>
        <stp>StudyData</stp>
        <stp>Consolidate(FVS?1-VX?1,5X,FVS?1-VX?1,1,0)</stp>
        <stp>Bar</stp>
        <stp/>
        <stp>Last</stp>
        <stp>D</stp>
        <stp>-16</stp>
        <stp/>
        <stp/>
        <stp/>
        <stp/>
        <stp>T</stp>
        <tr r="V18" s="4"/>
      </tp>
      <tp>
        <v>3.05</v>
        <stp/>
        <stp>StudyData</stp>
        <stp>Consolidate(FVS?1-VX?1,5X,FVS?1-VX?1,1,0)</stp>
        <stp>Bar</stp>
        <stp/>
        <stp>Last</stp>
        <stp>D</stp>
        <stp>-26</stp>
        <stp/>
        <stp/>
        <stp/>
        <stp/>
        <stp>T</stp>
        <tr r="V28" s="4"/>
      </tp>
      <tp>
        <v>4.1500000000000004</v>
        <stp/>
        <stp>StudyData</stp>
        <stp>Consolidate(FVS?1-VX?1,5X,FVS?1-VX?1,1,0)</stp>
        <stp>Bar</stp>
        <stp/>
        <stp>Last</stp>
        <stp>D</stp>
        <stp>-15</stp>
        <stp/>
        <stp/>
        <stp/>
        <stp/>
        <stp>T</stp>
        <tr r="V17" s="4"/>
      </tp>
      <tp>
        <v>3.35</v>
        <stp/>
        <stp>StudyData</stp>
        <stp>Consolidate(FVS?1-VX?1,5X,FVS?1-VX?1,1,0)</stp>
        <stp>Bar</stp>
        <stp/>
        <stp>Last</stp>
        <stp>D</stp>
        <stp>-25</stp>
        <stp/>
        <stp/>
        <stp/>
        <stp/>
        <stp>T</stp>
        <tr r="V27" s="4"/>
      </tp>
      <tp>
        <v>3.5</v>
        <stp/>
        <stp>StudyData</stp>
        <stp>Consolidate(FVS?1-VX?1,5X,FVS?1-VX?1,1,0)</stp>
        <stp>Bar</stp>
        <stp/>
        <stp>Last</stp>
        <stp>D</stp>
        <stp>-14</stp>
        <stp/>
        <stp/>
        <stp/>
        <stp/>
        <stp>T</stp>
        <tr r="V16" s="4"/>
      </tp>
      <tp>
        <v>3.1</v>
        <stp/>
        <stp>StudyData</stp>
        <stp>Consolidate(FVS?1-VX?1,5X,FVS?1-VX?1,1,0)</stp>
        <stp>Bar</stp>
        <stp/>
        <stp>Last</stp>
        <stp>D</stp>
        <stp>-24</stp>
        <stp/>
        <stp/>
        <stp/>
        <stp/>
        <stp>T</stp>
        <tr r="V26" s="4"/>
      </tp>
      <tp t="s">
        <v/>
        <stp/>
        <stp>ContractData</stp>
        <stp>F.VX?9</stp>
        <stp>NetLastQuoteToday</stp>
        <stp/>
        <stp>T</stp>
        <tr r="U10" s="6"/>
      </tp>
      <tp>
        <v>-0.35000000000000142</v>
        <stp/>
        <stp>ContractData</stp>
        <stp>F.VX?8</stp>
        <stp>NetLastQuoteToday</stp>
        <stp/>
        <stp>T</stp>
        <tr r="U9" s="6"/>
      </tp>
      <tp>
        <v>-0.29999999999999716</v>
        <stp/>
        <stp>ContractData</stp>
        <stp>F.VX?7</stp>
        <stp>NetLastQuoteToday</stp>
        <stp/>
        <stp>T</stp>
        <tr r="U8" s="6"/>
      </tp>
      <tp>
        <v>-0.35000000000000142</v>
        <stp/>
        <stp>ContractData</stp>
        <stp>F.VX?6</stp>
        <stp>NetLastQuoteToday</stp>
        <stp/>
        <stp>T</stp>
        <tr r="U7" s="6"/>
      </tp>
      <tp>
        <v>-0.44999999999999929</v>
        <stp/>
        <stp>ContractData</stp>
        <stp>F.VX?5</stp>
        <stp>NetLastQuoteToday</stp>
        <stp/>
        <stp>T</stp>
        <tr r="U6" s="6"/>
      </tp>
      <tp>
        <v>-0.45000000000000284</v>
        <stp/>
        <stp>ContractData</stp>
        <stp>F.VX?4</stp>
        <stp>NetLastQuoteToday</stp>
        <stp/>
        <stp>T</stp>
        <tr r="U5" s="6"/>
      </tp>
      <tp>
        <v>-0.5</v>
        <stp/>
        <stp>ContractData</stp>
        <stp>F.VX?3</stp>
        <stp>NetLastQuoteToday</stp>
        <stp/>
        <stp>T</stp>
        <tr r="U4" s="6"/>
      </tp>
      <tp>
        <v>-0.5</v>
        <stp/>
        <stp>ContractData</stp>
        <stp>F.VX?2</stp>
        <stp>NetLastQuoteToday</stp>
        <stp/>
        <stp>T</stp>
        <tr r="U3" s="6"/>
      </tp>
      <tp>
        <v>-0.59999999999999964</v>
        <stp/>
        <stp>ContractData</stp>
        <stp>F.VX?1</stp>
        <stp>NetLastQuoteToday</stp>
        <stp/>
        <stp>T</stp>
        <tr r="U2" s="6"/>
      </tp>
      <tp>
        <v>3.35</v>
        <stp/>
        <stp>StudyData</stp>
        <stp>Consolidate(FVS?1-VX?1,5X,FVS?1-VX?1,1,0)</stp>
        <stp>Bar</stp>
        <stp/>
        <stp>Last</stp>
        <stp>D</stp>
        <stp>-13</stp>
        <stp/>
        <stp/>
        <stp/>
        <stp/>
        <stp>T</stp>
        <tr r="V15" s="4"/>
      </tp>
      <tp>
        <v>3.85</v>
        <stp/>
        <stp>StudyData</stp>
        <stp>Consolidate(FVS?1-VX?1,5X,FVS?1-VX?1,1,0)</stp>
        <stp>Bar</stp>
        <stp/>
        <stp>Last</stp>
        <stp>D</stp>
        <stp>-23</stp>
        <stp/>
        <stp/>
        <stp/>
        <stp/>
        <stp>T</stp>
        <tr r="V25" s="4"/>
      </tp>
      <tp>
        <v>3.7</v>
        <stp/>
        <stp>StudyData</stp>
        <stp>Consolidate(FVS?1-VX?1,5X,FVS?1-VX?1,1,0)</stp>
        <stp>Bar</stp>
        <stp/>
        <stp>Last</stp>
        <stp>D</stp>
        <stp>-12</stp>
        <stp/>
        <stp/>
        <stp/>
        <stp/>
        <stp>T</stp>
        <tr r="V14" s="4"/>
      </tp>
      <tp>
        <v>2.95</v>
        <stp/>
        <stp>StudyData</stp>
        <stp>Consolidate(FVS?1-VX?1,5X,FVS?1-VX?1,1,0)</stp>
        <stp>Bar</stp>
        <stp/>
        <stp>Last</stp>
        <stp>D</stp>
        <stp>-22</stp>
        <stp/>
        <stp/>
        <stp/>
        <stp/>
        <stp>T</stp>
        <tr r="V24" s="4"/>
      </tp>
      <tp t="s">
        <v/>
        <stp/>
        <stp>ContractData</stp>
        <stp>FVSN3</stp>
        <stp>Bid</stp>
        <stp/>
        <stp>T</stp>
        <tr r="B9" s="2"/>
        <tr r="S2" s="3"/>
      </tp>
      <tp t="s">
        <v/>
        <stp/>
        <stp>ContractData</stp>
        <stp>FVSF4</stp>
        <stp>Bid</stp>
        <stp/>
        <stp>T</stp>
        <tr r="I9" s="2"/>
        <tr r="S8" s="3"/>
      </tp>
      <tp t="s">
        <v/>
        <stp/>
        <stp>ContractData</stp>
        <stp>FVSG4</stp>
        <stp>Bid</stp>
        <stp/>
        <stp>T</stp>
        <tr r="J9" s="2"/>
        <tr r="J9" s="2"/>
        <tr r="S9" s="3"/>
      </tp>
      <tp t="s">
        <v/>
        <stp/>
        <stp>ContractData</stp>
        <stp>FVSX3</stp>
        <stp>Bid</stp>
        <stp/>
        <stp>T</stp>
        <tr r="G9" s="2"/>
        <tr r="S6" s="3"/>
      </tp>
      <tp t="s">
        <v/>
        <stp/>
        <stp>ContractData</stp>
        <stp>FVSZ3</stp>
        <stp>Bid</stp>
        <stp/>
        <stp>T</stp>
        <tr r="H9" s="2"/>
        <tr r="S7" s="3"/>
      </tp>
      <tp t="s">
        <v/>
        <stp/>
        <stp>ContractData</stp>
        <stp>FVSQ3</stp>
        <stp>Bid</stp>
        <stp/>
        <stp>T</stp>
        <tr r="D9" s="2"/>
        <tr r="S3" s="3"/>
      </tp>
      <tp t="s">
        <v/>
        <stp/>
        <stp>ContractData</stp>
        <stp>FVSU3</stp>
        <stp>Bid</stp>
        <stp/>
        <stp>T</stp>
        <tr r="E9" s="2"/>
        <tr r="S4" s="3"/>
      </tp>
      <tp t="s">
        <v/>
        <stp/>
        <stp>ContractData</stp>
        <stp>FVSV3</stp>
        <stp>Bid</stp>
        <stp/>
        <stp>T</stp>
        <tr r="F9" s="2"/>
        <tr r="S5" s="3"/>
      </tp>
      <tp t="s">
        <v/>
        <stp/>
        <stp>ContractData</stp>
        <stp>FVSQ3</stp>
        <stp>Ask</stp>
        <stp/>
        <stp>T</stp>
        <tr r="D8" s="2"/>
        <tr r="T3" s="3"/>
      </tp>
      <tp t="s">
        <v/>
        <stp/>
        <stp>ContractData</stp>
        <stp>FVSV3</stp>
        <stp>Ask</stp>
        <stp/>
        <stp>T</stp>
        <tr r="F8" s="2"/>
        <tr r="T5" s="3"/>
      </tp>
      <tp t="s">
        <v/>
        <stp/>
        <stp>ContractData</stp>
        <stp>FVSU3</stp>
        <stp>Ask</stp>
        <stp/>
        <stp>T</stp>
        <tr r="E8" s="2"/>
        <tr r="T4" s="3"/>
      </tp>
      <tp t="s">
        <v/>
        <stp/>
        <stp>ContractData</stp>
        <stp>FVSZ3</stp>
        <stp>Ask</stp>
        <stp/>
        <stp>T</stp>
        <tr r="H8" s="2"/>
        <tr r="T7" s="3"/>
      </tp>
      <tp t="s">
        <v/>
        <stp/>
        <stp>ContractData</stp>
        <stp>FVSX3</stp>
        <stp>Ask</stp>
        <stp/>
        <stp>T</stp>
        <tr r="G8" s="2"/>
        <tr r="T6" s="3"/>
      </tp>
      <tp t="s">
        <v/>
        <stp/>
        <stp>ContractData</stp>
        <stp>FVSF4</stp>
        <stp>Ask</stp>
        <stp/>
        <stp>T</stp>
        <tr r="I8" s="2"/>
        <tr r="T8" s="3"/>
      </tp>
      <tp t="s">
        <v/>
        <stp/>
        <stp>ContractData</stp>
        <stp>FVSG4</stp>
        <stp>Ask</stp>
        <stp/>
        <stp>T</stp>
        <tr r="J8" s="2"/>
        <tr r="J8" s="2"/>
        <tr r="T9" s="3"/>
      </tp>
      <tp t="s">
        <v/>
        <stp/>
        <stp>ContractData</stp>
        <stp>FVSN3</stp>
        <stp>Ask</stp>
        <stp/>
        <stp>T</stp>
        <tr r="B8" s="2"/>
        <tr r="T2" s="3"/>
      </tp>
      <tp t="s">
        <v/>
        <stp/>
        <stp>StudyData</stp>
        <stp>FVSG4</stp>
        <stp>Bar</stp>
        <stp/>
        <stp>Close</stp>
        <stp>180</stp>
        <stp>0</stp>
        <stp/>
        <stp>VIXVSTOXX</stp>
        <stp/>
        <stp/>
        <stp>T</stp>
        <tr r="D9" s="5"/>
      </tp>
      <tp t="s">
        <v/>
        <stp/>
        <stp>StudyData</stp>
        <stp>FVSF4</stp>
        <stp>Bar</stp>
        <stp/>
        <stp>Close</stp>
        <stp>180</stp>
        <stp>0</stp>
        <stp/>
        <stp>VIXVSTOXX</stp>
        <stp/>
        <stp/>
        <stp>T</stp>
        <tr r="D8" s="5"/>
      </tp>
      <tp t="s">
        <v/>
        <stp/>
        <stp>StudyData</stp>
        <stp>FVSN3</stp>
        <stp>Bar</stp>
        <stp/>
        <stp>Close</stp>
        <stp>180</stp>
        <stp>0</stp>
        <stp/>
        <stp>VIXVSTOXX</stp>
        <stp/>
        <stp/>
        <stp>T</stp>
        <tr r="D2" s="5"/>
      </tp>
      <tp>
        <v>22.1</v>
        <stp/>
        <stp>StudyData</stp>
        <stp>FVSV3</stp>
        <stp>Bar</stp>
        <stp/>
        <stp>Close</stp>
        <stp>180</stp>
        <stp>0</stp>
        <stp/>
        <stp>VIXVSTOXX</stp>
        <stp/>
        <stp/>
        <stp>T</stp>
        <tr r="D5" s="5"/>
        <tr r="D5" s="5"/>
      </tp>
      <tp>
        <v>21.55</v>
        <stp/>
        <stp>StudyData</stp>
        <stp>FVSU3</stp>
        <stp>Bar</stp>
        <stp/>
        <stp>Close</stp>
        <stp>180</stp>
        <stp>0</stp>
        <stp/>
        <stp>VIXVSTOXX</stp>
        <stp/>
        <stp/>
        <stp>T</stp>
        <tr r="D4" s="5"/>
        <tr r="D4" s="5"/>
      </tp>
      <tp>
        <v>20.65</v>
        <stp/>
        <stp>StudyData</stp>
        <stp>FVSQ3</stp>
        <stp>Bar</stp>
        <stp/>
        <stp>Close</stp>
        <stp>180</stp>
        <stp>0</stp>
        <stp/>
        <stp>VIXVSTOXX</stp>
        <stp/>
        <stp/>
        <stp>T</stp>
        <tr r="J6" s="5"/>
        <tr r="D3" s="5"/>
        <tr r="D3" s="5"/>
      </tp>
      <tp t="s">
        <v/>
        <stp/>
        <stp>StudyData</stp>
        <stp>FVSZ3</stp>
        <stp>Bar</stp>
        <stp/>
        <stp>Close</stp>
        <stp>180</stp>
        <stp>0</stp>
        <stp/>
        <stp>VIXVSTOXX</stp>
        <stp/>
        <stp/>
        <stp>T</stp>
        <tr r="D7" s="5"/>
      </tp>
      <tp>
        <v>22.8</v>
        <stp/>
        <stp>StudyData</stp>
        <stp>FVSX3</stp>
        <stp>Bar</stp>
        <stp/>
        <stp>Close</stp>
        <stp>180</stp>
        <stp>0</stp>
        <stp/>
        <stp>VIXVSTOXX</stp>
        <stp/>
        <stp/>
        <stp>T</stp>
        <tr r="D6" s="5"/>
        <tr r="D6" s="5"/>
      </tp>
      <tp>
        <v>3</v>
        <stp/>
        <stp>StudyData</stp>
        <stp>Consolidate(FVS?1-VX?1,5X,FVS?1-VX?1,1,0)</stp>
        <stp>Bar</stp>
        <stp/>
        <stp>High</stp>
        <stp>D</stp>
        <stp>-19</stp>
        <stp/>
        <stp/>
        <stp/>
        <stp/>
        <stp>T</stp>
        <tr r="T21" s="4"/>
      </tp>
      <tp>
        <v>3.61</v>
        <stp/>
        <stp>StudyData</stp>
        <stp>Consolidate(FVS?1-VX?1,5X,FVS?1-VX?1,1,0)</stp>
        <stp>Bar</stp>
        <stp/>
        <stp>High</stp>
        <stp>D</stp>
        <stp>-29</stp>
        <stp/>
        <stp/>
        <stp/>
        <stp/>
        <stp>T</stp>
        <tr r="T31" s="4"/>
      </tp>
      <tp>
        <v>3.8</v>
        <stp/>
        <stp>StudyData</stp>
        <stp>Consolidate(FVS?1-VX?1,5X,FVS?1-VX?1,1,0)</stp>
        <stp>Bar</stp>
        <stp/>
        <stp>Last</stp>
        <stp>D</stp>
        <stp>-11</stp>
        <stp/>
        <stp/>
        <stp/>
        <stp/>
        <stp>T</stp>
        <tr r="V13" s="4"/>
      </tp>
      <tp>
        <v>3</v>
        <stp/>
        <stp>StudyData</stp>
        <stp>Consolidate(FVS?1-VX?1,5X,FVS?1-VX?1,1,0)</stp>
        <stp>Bar</stp>
        <stp/>
        <stp>Last</stp>
        <stp>D</stp>
        <stp>-21</stp>
        <stp/>
        <stp/>
        <stp/>
        <stp/>
        <stp>T</stp>
        <tr r="V23" s="4"/>
      </tp>
      <tp>
        <v>135314</v>
        <stp/>
        <stp>StudyData</stp>
        <stp>VXQ3</stp>
        <stp>VolOI</stp>
        <stp/>
        <stp>Vol</stp>
        <stp/>
        <stp/>
        <stp>all</stp>
        <stp/>
        <stp/>
        <stp/>
        <stp>T</stp>
        <tr r="V20" s="6"/>
      </tp>
      <tp>
        <v>24.3</v>
        <stp/>
        <stp>ContractData</stp>
        <stp>FVSG4</stp>
        <stp>Settlement</stp>
        <stp/>
        <stp>T</stp>
        <tr r="AJ9" s="3"/>
      </tp>
      <tp>
        <v>23.900000000000002</v>
        <stp/>
        <stp>ContractData</stp>
        <stp>FVSF4</stp>
        <stp>Settlement</stp>
        <stp/>
        <stp>T</stp>
        <tr r="AJ8" s="3"/>
      </tp>
      <tp>
        <v>3.95</v>
        <stp/>
        <stp>StudyData</stp>
        <stp>Consolidate(FVS?1-VX?1,5X,FVS?1-VX?1,1,0)</stp>
        <stp>Bar</stp>
        <stp/>
        <stp>High</stp>
        <stp>D</stp>
        <stp>-18</stp>
        <stp/>
        <stp/>
        <stp/>
        <stp/>
        <stp>T</stp>
        <tr r="T20" s="4"/>
      </tp>
      <tp>
        <v>4.0999999999999996</v>
        <stp/>
        <stp>StudyData</stp>
        <stp>Consolidate(FVS?1-VX?1,5X,FVS?1-VX?1,1,0)</stp>
        <stp>Bar</stp>
        <stp/>
        <stp>High</stp>
        <stp>D</stp>
        <stp>-28</stp>
        <stp/>
        <stp/>
        <stp/>
        <stp/>
        <stp>T</stp>
        <tr r="T30" s="4"/>
      </tp>
      <tp>
        <v>3.9</v>
        <stp/>
        <stp>StudyData</stp>
        <stp>Consolidate(FVS?1-VX?1,5X,FVS?1-VX?1,1,0)</stp>
        <stp>Bar</stp>
        <stp/>
        <stp>Last</stp>
        <stp>D</stp>
        <stp>-10</stp>
        <stp/>
        <stp/>
        <stp/>
        <stp/>
        <stp>T</stp>
        <tr r="V12" s="4"/>
      </tp>
      <tp>
        <v>3.25</v>
        <stp/>
        <stp>StudyData</stp>
        <stp>Consolidate(FVS?1-VX?1,5X,FVS?1-VX?1,1,0)</stp>
        <stp>Bar</stp>
        <stp/>
        <stp>Last</stp>
        <stp>D</stp>
        <stp>-20</stp>
        <stp/>
        <stp/>
        <stp/>
        <stp/>
        <stp>T</stp>
        <tr r="V22" s="4"/>
      </tp>
      <tp>
        <v>4.55</v>
        <stp/>
        <stp>StudyData</stp>
        <stp>Consolidate(FVS?1-VX?1,5X,FVS?1-VX?1,1,0)</stp>
        <stp>Bar</stp>
        <stp/>
        <stp>High</stp>
        <stp>D</stp>
        <stp>-17</stp>
        <stp/>
        <stp/>
        <stp/>
        <stp/>
        <stp>T</stp>
        <tr r="T19" s="4"/>
      </tp>
      <tp>
        <v>4.1500000000000004</v>
        <stp/>
        <stp>StudyData</stp>
        <stp>Consolidate(FVS?1-VX?1,5X,FVS?1-VX?1,1,0)</stp>
        <stp>Bar</stp>
        <stp/>
        <stp>High</stp>
        <stp>D</stp>
        <stp>-27</stp>
        <stp/>
        <stp/>
        <stp/>
        <stp/>
        <stp>T</stp>
        <tr r="T29" s="4"/>
      </tp>
      <tp t="b">
        <v>0</v>
        <stp/>
        <stp>ContractData</stp>
        <stp/>
        <stp>Symbol</stp>
        <tr r="I11" s="2"/>
        <tr r="D11" s="2"/>
        <tr r="F11" s="2"/>
        <tr r="E11" s="2"/>
        <tr r="H11" s="2"/>
        <tr r="G11" s="2"/>
        <tr r="P11" s="2"/>
        <tr r="N11" s="2"/>
        <tr r="L11" s="2"/>
        <tr r="O11" s="2"/>
        <tr r="M11" s="2"/>
      </tp>
      <tp>
        <v>27887</v>
        <stp/>
        <stp>StudyData</stp>
        <stp>VXV3</stp>
        <stp>VolOI</stp>
        <stp>OIType=Contract</stp>
        <stp>OI</stp>
        <stp>D</stp>
        <stp>-2</stp>
        <stp>all</stp>
        <stp/>
        <stp/>
        <stp/>
        <stp>T</stp>
        <tr r="AO4" s="6"/>
      </tp>
      <tp>
        <v>50765</v>
        <stp/>
        <stp>StudyData</stp>
        <stp>VXU3</stp>
        <stp>VolOI</stp>
        <stp>OIType=Contract</stp>
        <stp>OI</stp>
        <stp>D</stp>
        <stp>-2</stp>
        <stp>all</stp>
        <stp/>
        <stp/>
        <stp/>
        <stp>T</stp>
        <tr r="AO3" s="6"/>
      </tp>
      <tp>
        <v>145742</v>
        <stp/>
        <stp>StudyData</stp>
        <stp>VXQ3</stp>
        <stp>VolOI</stp>
        <stp>OIType=Contract</stp>
        <stp>OI</stp>
        <stp>D</stp>
        <stp>-2</stp>
        <stp>all</stp>
        <stp/>
        <stp/>
        <stp/>
        <stp>T</stp>
        <tr r="AO2" s="6"/>
      </tp>
      <tp>
        <v>25019</v>
        <stp/>
        <stp>StudyData</stp>
        <stp>VXZ3</stp>
        <stp>VolOI</stp>
        <stp>OIType=Contract</stp>
        <stp>OI</stp>
        <stp>D</stp>
        <stp>-2</stp>
        <stp>all</stp>
        <stp/>
        <stp/>
        <stp/>
        <stp>T</stp>
        <tr r="AO6" s="6"/>
      </tp>
      <tp>
        <v>28946</v>
        <stp/>
        <stp>StudyData</stp>
        <stp>VXX3</stp>
        <stp>VolOI</stp>
        <stp>OIType=Contract</stp>
        <stp>OI</stp>
        <stp>D</stp>
        <stp>-2</stp>
        <stp>all</stp>
        <stp/>
        <stp/>
        <stp/>
        <stp>T</stp>
        <tr r="AO5" s="6"/>
      </tp>
      <tp>
        <v>3074</v>
        <stp/>
        <stp>StudyData</stp>
        <stp>VXG4</stp>
        <stp>VolOI</stp>
        <stp>OIType=Contract</stp>
        <stp>OI</stp>
        <stp>D</stp>
        <stp>-2</stp>
        <stp>all</stp>
        <stp/>
        <stp/>
        <stp/>
        <stp>T</stp>
        <tr r="AO8" s="6"/>
      </tp>
      <tp>
        <v>12547</v>
        <stp/>
        <stp>StudyData</stp>
        <stp>VXF4</stp>
        <stp>VolOI</stp>
        <stp>OIType=Contract</stp>
        <stp>OI</stp>
        <stp>D</stp>
        <stp>-2</stp>
        <stp>all</stp>
        <stp/>
        <stp/>
        <stp/>
        <stp>T</stp>
        <tr r="AO7" s="6"/>
      </tp>
      <tp t="s">
        <v/>
        <stp/>
        <stp>StudyData</stp>
        <stp>VXJ4</stp>
        <stp>VolOI</stp>
        <stp>OIType=Contract</stp>
        <stp>OI</stp>
        <stp>D</stp>
        <stp>-2</stp>
        <stp>all</stp>
        <stp/>
        <stp/>
        <stp/>
        <stp>T</stp>
        <tr r="AO10" s="6"/>
      </tp>
      <tp>
        <v>185</v>
        <stp/>
        <stp>StudyData</stp>
        <stp>VXH4</stp>
        <stp>VolOI</stp>
        <stp>OIType=Contract</stp>
        <stp>OI</stp>
        <stp>D</stp>
        <stp>-2</stp>
        <stp>all</stp>
        <stp/>
        <stp/>
        <stp/>
        <stp>T</stp>
        <tr r="AO9" s="6"/>
      </tp>
      <tp>
        <v>29167</v>
        <stp/>
        <stp>StudyData</stp>
        <stp>VXV3</stp>
        <stp>VolOI</stp>
        <stp>OIType=Contract</stp>
        <stp>OI</stp>
        <stp>D</stp>
        <stp>-1</stp>
        <stp>all</stp>
        <stp/>
        <stp/>
        <stp/>
        <stp>T</stp>
        <tr r="AN4" s="6"/>
      </tp>
      <tp>
        <v>54448</v>
        <stp/>
        <stp>StudyData</stp>
        <stp>VXU3</stp>
        <stp>VolOI</stp>
        <stp>OIType=Contract</stp>
        <stp>OI</stp>
        <stp>D</stp>
        <stp>-1</stp>
        <stp>all</stp>
        <stp/>
        <stp/>
        <stp/>
        <stp>T</stp>
        <tr r="AN3" s="6"/>
      </tp>
      <tp>
        <v>161326</v>
        <stp/>
        <stp>StudyData</stp>
        <stp>VXQ3</stp>
        <stp>VolOI</stp>
        <stp>OIType=Contract</stp>
        <stp>OI</stp>
        <stp>D</stp>
        <stp>-1</stp>
        <stp>all</stp>
        <stp/>
        <stp/>
        <stp/>
        <stp>T</stp>
        <tr r="AN2" s="6"/>
      </tp>
      <tp>
        <v>24999</v>
        <stp/>
        <stp>StudyData</stp>
        <stp>VXZ3</stp>
        <stp>VolOI</stp>
        <stp>OIType=Contract</stp>
        <stp>OI</stp>
        <stp>D</stp>
        <stp>-1</stp>
        <stp>all</stp>
        <stp/>
        <stp/>
        <stp/>
        <stp>T</stp>
        <tr r="AN6" s="6"/>
      </tp>
      <tp>
        <v>29164</v>
        <stp/>
        <stp>StudyData</stp>
        <stp>VXX3</stp>
        <stp>VolOI</stp>
        <stp>OIType=Contract</stp>
        <stp>OI</stp>
        <stp>D</stp>
        <stp>-1</stp>
        <stp>all</stp>
        <stp/>
        <stp/>
        <stp/>
        <stp>T</stp>
        <tr r="AN5" s="6"/>
      </tp>
      <tp>
        <v>3070</v>
        <stp/>
        <stp>StudyData</stp>
        <stp>VXG4</stp>
        <stp>VolOI</stp>
        <stp>OIType=Contract</stp>
        <stp>OI</stp>
        <stp>D</stp>
        <stp>-1</stp>
        <stp>all</stp>
        <stp/>
        <stp/>
        <stp/>
        <stp>T</stp>
        <tr r="AN8" s="6"/>
      </tp>
      <tp>
        <v>12478</v>
        <stp/>
        <stp>StudyData</stp>
        <stp>VXF4</stp>
        <stp>VolOI</stp>
        <stp>OIType=Contract</stp>
        <stp>OI</stp>
        <stp>D</stp>
        <stp>-1</stp>
        <stp>all</stp>
        <stp/>
        <stp/>
        <stp/>
        <stp>T</stp>
        <tr r="AN7" s="6"/>
      </tp>
      <tp t="s">
        <v/>
        <stp/>
        <stp>StudyData</stp>
        <stp>VXJ4</stp>
        <stp>VolOI</stp>
        <stp>OIType=Contract</stp>
        <stp>OI</stp>
        <stp>D</stp>
        <stp>-1</stp>
        <stp>all</stp>
        <stp/>
        <stp/>
        <stp/>
        <stp>T</stp>
        <tr r="AN10" s="6"/>
      </tp>
      <tp>
        <v>190</v>
        <stp/>
        <stp>StudyData</stp>
        <stp>VXH4</stp>
        <stp>VolOI</stp>
        <stp>OIType=Contract</stp>
        <stp>OI</stp>
        <stp>D</stp>
        <stp>-1</stp>
        <stp>all</stp>
        <stp/>
        <stp/>
        <stp/>
        <stp>T</stp>
        <tr r="AN9" s="6"/>
      </tp>
      <tp>
        <v>4.91</v>
        <stp/>
        <stp>StudyData</stp>
        <stp>Consolidate(FVS?1-VX?1,5X,FVS?1-VX?1,1,0)</stp>
        <stp>Bar</stp>
        <stp/>
        <stp>High</stp>
        <stp>D</stp>
        <stp>-16</stp>
        <stp/>
        <stp/>
        <stp/>
        <stp/>
        <stp>T</stp>
        <tr r="T18" s="4"/>
      </tp>
      <tp>
        <v>3.57</v>
        <stp/>
        <stp>StudyData</stp>
        <stp>Consolidate(FVS?1-VX?1,5X,FVS?1-VX?1,1,0)</stp>
        <stp>Bar</stp>
        <stp/>
        <stp>High</stp>
        <stp>D</stp>
        <stp>-26</stp>
        <stp/>
        <stp/>
        <stp/>
        <stp/>
        <stp>T</stp>
        <tr r="T28" s="4"/>
      </tp>
      <tp t="s">
        <v/>
        <stp/>
        <stp>ContractData</stp>
        <stp>SPREAD(FVS?2-VX?2)</stp>
        <stp>VolumeLastBid</stp>
        <tr r="U12" s="2"/>
      </tp>
      <tp t="s">
        <v/>
        <stp/>
        <stp>ContractData</stp>
        <stp>SPREAD(FVS?3-VX?3)</stp>
        <stp>VolumeLastBid</stp>
        <tr r="V12" s="2"/>
      </tp>
      <tp t="s">
        <v/>
        <stp/>
        <stp>ContractData</stp>
        <stp>SPREAD(FVS?1-VX?1)</stp>
        <stp>VolumeLastBid</stp>
        <tr r="T12" s="2"/>
      </tp>
      <tp t="s">
        <v/>
        <stp/>
        <stp>ContractData</stp>
        <stp>SPREAD(FVS?6-VX?6)</stp>
        <stp>VolumeLastBid</stp>
        <tr r="Y12" s="2"/>
      </tp>
      <tp t="s">
        <v/>
        <stp/>
        <stp>ContractData</stp>
        <stp>SPREAD(FVS?7-VX?7)</stp>
        <stp>VolumeLastBid</stp>
        <tr r="Z12" s="2"/>
      </tp>
      <tp t="s">
        <v/>
        <stp/>
        <stp>ContractData</stp>
        <stp>SPREAD(FVS?4-VX?4)</stp>
        <stp>VolumeLastBid</stp>
        <tr r="W12" s="2"/>
      </tp>
      <tp t="s">
        <v/>
        <stp/>
        <stp>ContractData</stp>
        <stp>SPREAD(FVS?5-VX?5)</stp>
        <stp>VolumeLastBid</stp>
        <tr r="X12" s="2"/>
      </tp>
      <tp>
        <v>4.92</v>
        <stp/>
        <stp>StudyData</stp>
        <stp>Consolidate(FVS?1-VX?1,5X,FVS?1-VX?1,1,0)</stp>
        <stp>Bar</stp>
        <stp/>
        <stp>High</stp>
        <stp>D</stp>
        <stp>-15</stp>
        <stp/>
        <stp/>
        <stp/>
        <stp/>
        <stp>T</stp>
        <tr r="T17" s="4"/>
      </tp>
      <tp>
        <v>3.89</v>
        <stp/>
        <stp>StudyData</stp>
        <stp>Consolidate(FVS?1-VX?1,5X,FVS?1-VX?1,1,0)</stp>
        <stp>Bar</stp>
        <stp/>
        <stp>High</stp>
        <stp>D</stp>
        <stp>-25</stp>
        <stp/>
        <stp/>
        <stp/>
        <stp/>
        <stp>T</stp>
        <tr r="T27" s="4"/>
      </tp>
      <tp>
        <v>3.12</v>
        <stp/>
        <stp>StudyData</stp>
        <stp>Consolidate(FVS?1-VX?1,5X,FVS?1-VX?1,1,0)</stp>
        <stp>Bar</stp>
        <stp/>
        <stp>Low</stp>
        <stp>D</stp>
        <stp>0</stp>
        <stp/>
        <stp/>
        <stp/>
        <stp/>
        <stp>T</stp>
        <tr r="U2" s="4"/>
      </tp>
      <tp>
        <v>3.5</v>
        <stp/>
        <stp>StudyData</stp>
        <stp>Consolidate(FVS?1-VX?1,5X,FVS?1-VX?1,1,0)</stp>
        <stp>Bar</stp>
        <stp/>
        <stp>High</stp>
        <stp>D</stp>
        <stp>-14</stp>
        <stp/>
        <stp/>
        <stp/>
        <stp/>
        <stp>T</stp>
        <tr r="T16" s="4"/>
      </tp>
      <tp>
        <v>3.68</v>
        <stp/>
        <stp>StudyData</stp>
        <stp>Consolidate(FVS?1-VX?1,5X,FVS?1-VX?1,1,0)</stp>
        <stp>Bar</stp>
        <stp/>
        <stp>High</stp>
        <stp>D</stp>
        <stp>-24</stp>
        <stp/>
        <stp/>
        <stp/>
        <stp/>
        <stp>T</stp>
        <tr r="T26" s="4"/>
      </tp>
      <tp>
        <v>-0.63999999999999879</v>
        <stp/>
        <stp>ContractData</stp>
        <stp>VXC</stp>
        <stp>NetChange</stp>
        <stp/>
        <stp>T</stp>
        <tr r="P14" s="2"/>
      </tp>
      <tp>
        <v>3.8</v>
        <stp/>
        <stp>StudyData</stp>
        <stp>Consolidate(FVS?1-VX?1,5X,FVS?1-VX?1,1,0)</stp>
        <stp>Bar</stp>
        <stp/>
        <stp>High</stp>
        <stp>D</stp>
        <stp>-13</stp>
        <stp/>
        <stp/>
        <stp/>
        <stp/>
        <stp>T</stp>
        <tr r="T15" s="4"/>
      </tp>
      <tp>
        <v>3.85</v>
        <stp/>
        <stp>StudyData</stp>
        <stp>Consolidate(FVS?1-VX?1,5X,FVS?1-VX?1,1,0)</stp>
        <stp>Bar</stp>
        <stp/>
        <stp>High</stp>
        <stp>D</stp>
        <stp>-23</stp>
        <stp/>
        <stp/>
        <stp/>
        <stp/>
        <stp>T</stp>
        <tr r="T25" s="4"/>
      </tp>
      <tp>
        <v>3.91</v>
        <stp/>
        <stp>StudyData</stp>
        <stp>Consolidate(FVS?1-VX?1,5X,FVS?1-VX?1,1,0)</stp>
        <stp>Bar</stp>
        <stp/>
        <stp>High</stp>
        <stp>D</stp>
        <stp>-12</stp>
        <stp/>
        <stp/>
        <stp/>
        <stp/>
        <stp>T</stp>
        <tr r="T14" s="4"/>
      </tp>
      <tp>
        <v>3.85</v>
        <stp/>
        <stp>StudyData</stp>
        <stp>Consolidate(FVS?1-VX?1,5X,FVS?1-VX?1,1,0)</stp>
        <stp>Bar</stp>
        <stp/>
        <stp>High</stp>
        <stp>D</stp>
        <stp>-22</stp>
        <stp/>
        <stp/>
        <stp/>
        <stp/>
        <stp>T</stp>
        <tr r="T24" s="4"/>
      </tp>
      <tp>
        <v>1797</v>
        <stp/>
        <stp>StudyData</stp>
        <stp>FVSZ3</stp>
        <stp>Vol</stp>
        <stp>VolType=auto,CoCType=Contract</stp>
        <stp>Vol</stp>
        <stp>D</stp>
        <stp>0</stp>
        <stp>ALL</stp>
        <stp/>
        <stp/>
        <stp>TRUE</stp>
        <stp>T</stp>
        <tr r="AA35" s="2"/>
      </tp>
      <tp>
        <v>656</v>
        <stp/>
        <stp>StudyData</stp>
        <stp>FVSX3</stp>
        <stp>Vol</stp>
        <stp>VolType=auto,CoCType=Contract</stp>
        <stp>Vol</stp>
        <stp>D</stp>
        <stp>0</stp>
        <stp>ALL</stp>
        <stp/>
        <stp/>
        <stp>TRUE</stp>
        <stp>T</stp>
        <tr r="AA34" s="2"/>
      </tp>
      <tp>
        <v>1449</v>
        <stp/>
        <stp>StudyData</stp>
        <stp>FVSV3</stp>
        <stp>Vol</stp>
        <stp>VolType=auto,CoCType=Contract</stp>
        <stp>Vol</stp>
        <stp>D</stp>
        <stp>0</stp>
        <stp>ALL</stp>
        <stp/>
        <stp/>
        <stp>TRUE</stp>
        <stp>T</stp>
        <tr r="AA33" s="2"/>
      </tp>
      <tp>
        <v>5843</v>
        <stp/>
        <stp>StudyData</stp>
        <stp>FVSU3</stp>
        <stp>Vol</stp>
        <stp>VolType=auto,CoCType=Contract</stp>
        <stp>Vol</stp>
        <stp>D</stp>
        <stp>0</stp>
        <stp>ALL</stp>
        <stp/>
        <stp/>
        <stp>TRUE</stp>
        <stp>T</stp>
        <tr r="AA32" s="2"/>
      </tp>
      <tp>
        <v>4864</v>
        <stp/>
        <stp>StudyData</stp>
        <stp>FVSQ3</stp>
        <stp>Vol</stp>
        <stp>VolType=auto,CoCType=Contract</stp>
        <stp>Vol</stp>
        <stp>D</stp>
        <stp>0</stp>
        <stp>ALL</stp>
        <stp/>
        <stp/>
        <stp>TRUE</stp>
        <stp>T</stp>
        <tr r="AA31" s="2"/>
      </tp>
      <tp>
        <v>4619</v>
        <stp/>
        <stp>StudyData</stp>
        <stp>FVSN3</stp>
        <stp>Vol</stp>
        <stp>VolType=auto,CoCType=Contract</stp>
        <stp>Vol</stp>
        <stp>D</stp>
        <stp>0</stp>
        <stp>ALL</stp>
        <stp/>
        <stp/>
        <stp>TRUE</stp>
        <stp>T</stp>
        <tr r="AA30" s="2"/>
      </tp>
      <tp>
        <v>1</v>
        <stp/>
        <stp>StudyData</stp>
        <stp>FVSG4</stp>
        <stp>Vol</stp>
        <stp>VolType=auto,CoCType=Contract</stp>
        <stp>Vol</stp>
        <stp>D</stp>
        <stp>0</stp>
        <stp>ALL</stp>
        <stp/>
        <stp/>
        <stp>TRUE</stp>
        <stp>T</stp>
        <tr r="AA37" s="2"/>
      </tp>
      <tp>
        <v>12</v>
        <stp/>
        <stp>StudyData</stp>
        <stp>FVSF4</stp>
        <stp>Vol</stp>
        <stp>VolType=auto,CoCType=Contract</stp>
        <stp>Vol</stp>
        <stp>D</stp>
        <stp>0</stp>
        <stp>ALL</stp>
        <stp/>
        <stp/>
        <stp>TRUE</stp>
        <stp>T</stp>
        <tr r="AA36" s="2"/>
      </tp>
      <tp>
        <v>4.05</v>
        <stp/>
        <stp>StudyData</stp>
        <stp>Consolidate(FVS?1-VX?1,5X,FVS?1-VX?1,1,0)</stp>
        <stp>Bar</stp>
        <stp/>
        <stp>High</stp>
        <stp>D</stp>
        <stp>-11</stp>
        <stp/>
        <stp/>
        <stp/>
        <stp/>
        <stp>T</stp>
        <tr r="T13" s="4"/>
      </tp>
      <tp>
        <v>3.23</v>
        <stp/>
        <stp>StudyData</stp>
        <stp>Consolidate(FVS?1-VX?1,5X,FVS?1-VX?1,1,0)</stp>
        <stp>Bar</stp>
        <stp/>
        <stp>High</stp>
        <stp>D</stp>
        <stp>-21</stp>
        <stp/>
        <stp/>
        <stp/>
        <stp/>
        <stp>T</stp>
        <tr r="T23" s="4"/>
      </tp>
      <tp>
        <v>2.65</v>
        <stp/>
        <stp>StudyData</stp>
        <stp>Consolidate(FVS?1-VX?1,5X,FVS?1-VX?1,1,0)</stp>
        <stp>Bar</stp>
        <stp/>
        <stp>Last</stp>
        <stp>D</stp>
        <stp>-19</stp>
        <stp/>
        <stp/>
        <stp/>
        <stp/>
        <stp>T</stp>
        <tr r="V21" s="4"/>
      </tp>
      <tp>
        <v>3.6</v>
        <stp/>
        <stp>StudyData</stp>
        <stp>Consolidate(FVS?1-VX?1,5X,FVS?1-VX?1,1,0)</stp>
        <stp>Bar</stp>
        <stp/>
        <stp>Last</stp>
        <stp>D</stp>
        <stp>-29</stp>
        <stp/>
        <stp/>
        <stp/>
        <stp/>
        <stp>T</stp>
        <tr r="V31" s="4"/>
      </tp>
      <tp>
        <v>22.85</v>
        <stp/>
        <stp>StudyData</stp>
        <stp>FVSX3</stp>
        <stp>Bar</stp>
        <stp/>
        <stp>Close</stp>
        <stp>180</stp>
        <stp>-1</stp>
        <stp/>
        <stp>VIXVSTOXX</stp>
        <stp/>
        <stp/>
        <stp>T</stp>
        <tr r="D11" s="5"/>
      </tp>
      <tp>
        <v>18.48</v>
        <stp/>
        <stp>StudyData</stp>
        <stp>V2TX</stp>
        <stp>Bar</stp>
        <stp/>
        <stp>Close</stp>
        <stp>D</stp>
        <stp/>
        <stp/>
        <stp/>
        <stp/>
        <stp/>
        <stp>T</stp>
        <tr r="V13" s="3"/>
        <tr r="V13" s="3"/>
      </tp>
      <tp>
        <v>4.16</v>
        <stp/>
        <stp>StudyData</stp>
        <stp>Consolidate(FVS?1-VX?1,5X,FVS?1-VX?1,1,0)</stp>
        <stp>Bar</stp>
        <stp/>
        <stp>High</stp>
        <stp>D</stp>
        <stp>-10</stp>
        <stp/>
        <stp/>
        <stp/>
        <stp/>
        <stp>T</stp>
        <tr r="T12" s="4"/>
      </tp>
      <tp>
        <v>3.38</v>
        <stp/>
        <stp>StudyData</stp>
        <stp>Consolidate(FVS?1-VX?1,5X,FVS?1-VX?1,1,0)</stp>
        <stp>Bar</stp>
        <stp/>
        <stp>High</stp>
        <stp>D</stp>
        <stp>-20</stp>
        <stp/>
        <stp/>
        <stp/>
        <stp/>
        <stp>T</stp>
        <tr r="T22" s="4"/>
      </tp>
      <tp>
        <v>3.85</v>
        <stp/>
        <stp>StudyData</stp>
        <stp>Consolidate(FVS?1-VX?1,5X,FVS?1-VX?1,1,0)</stp>
        <stp>Bar</stp>
        <stp/>
        <stp>Last</stp>
        <stp>D</stp>
        <stp>-18</stp>
        <stp/>
        <stp/>
        <stp/>
        <stp/>
        <stp>T</stp>
        <tr r="V20" s="4"/>
      </tp>
      <tp>
        <v>4.0999999999999996</v>
        <stp/>
        <stp>StudyData</stp>
        <stp>Consolidate(FVS?1-VX?1,5X,FVS?1-VX?1,1,0)</stp>
        <stp>Bar</stp>
        <stp/>
        <stp>Last</stp>
        <stp>D</stp>
        <stp>-28</stp>
        <stp/>
        <stp/>
        <stp/>
        <stp/>
        <stp>T</stp>
        <tr r="V30" s="4"/>
      </tp>
      <tp>
        <v>3.5</v>
        <stp/>
        <stp>StudyData</stp>
        <stp>Consolidate(FVS?1-VX?1,5X,FVS?1-VX?1,1,0)</stp>
        <stp>Bar</stp>
        <stp/>
        <stp>Open</stp>
        <stp>D</stp>
        <stp>-2</stp>
        <stp/>
        <stp/>
        <stp/>
        <stp/>
        <stp>T</stp>
        <tr r="S4" s="4"/>
      </tp>
      <tp>
        <v>3.57</v>
        <stp/>
        <stp>StudyData</stp>
        <stp>Consolidate(FVS?1-VX?1,5X,FVS?1-VX?1,1,0)</stp>
        <stp>Bar</stp>
        <stp/>
        <stp>Open</stp>
        <stp>D</stp>
        <stp>-26</stp>
        <stp/>
        <stp/>
        <stp/>
        <stp/>
        <stp>T</stp>
        <tr r="S28" s="4"/>
      </tp>
      <tp>
        <v>4.83</v>
        <stp/>
        <stp>StudyData</stp>
        <stp>Consolidate(FVS?1-VX?1,5X,FVS?1-VX?1,1,0)</stp>
        <stp>Bar</stp>
        <stp/>
        <stp>Open</stp>
        <stp>D</stp>
        <stp>-16</stp>
        <stp/>
        <stp/>
        <stp/>
        <stp/>
        <stp>T</stp>
        <tr r="S18" s="4"/>
      </tp>
      <tp>
        <v>3</v>
        <stp/>
        <stp>StudyData</stp>
        <stp>Consolidate(FVS?1-VX?1,5X,FVS?1-VX?1,1,0)</stp>
        <stp>Bar</stp>
        <stp/>
        <stp>Last</stp>
        <stp>D</stp>
        <stp>-1</stp>
        <stp/>
        <stp/>
        <stp/>
        <stp/>
        <stp>T</stp>
        <tr r="V3" s="4"/>
      </tp>
      <tp>
        <v>4.74</v>
        <stp/>
        <stp>StudyData</stp>
        <stp>Consolidate(FVS?1-VX?1,5X,FVS?1-VX?1,1,0)</stp>
        <stp>Bar</stp>
        <stp/>
        <stp>High</stp>
        <stp>D</stp>
        <stp>-5</stp>
        <stp/>
        <stp/>
        <stp/>
        <stp/>
        <stp>T</stp>
        <tr r="T7" s="4"/>
      </tp>
      <tp>
        <v>3</v>
        <stp/>
        <stp>StudyData</stp>
        <stp>Consolidate(FVS?1-VX?1,5X,FVS?1-VX?1,1,0)</stp>
        <stp>Bar</stp>
        <stp/>
        <stp>Low</stp>
        <stp>D</stp>
        <stp>-1</stp>
        <stp/>
        <stp/>
        <stp/>
        <stp/>
        <stp>T</stp>
        <tr r="U3" s="4"/>
      </tp>
      <tp>
        <v>3.55</v>
        <stp/>
        <stp>StudyData</stp>
        <stp>Consolidate(FVS?1-VX?1,5X,FVS?1-VX?1,1,0)</stp>
        <stp>Bar</stp>
        <stp/>
        <stp>Open</stp>
        <stp>D</stp>
        <stp>-3</stp>
        <stp/>
        <stp/>
        <stp/>
        <stp/>
        <stp>T</stp>
        <tr r="S5" s="4"/>
      </tp>
      <tp>
        <v>3.86</v>
        <stp/>
        <stp>StudyData</stp>
        <stp>Consolidate(FVS?1-VX?1,5X,FVS?1-VX?1,1,0)</stp>
        <stp>Bar</stp>
        <stp/>
        <stp>Open</stp>
        <stp>D</stp>
        <stp>-27</stp>
        <stp/>
        <stp/>
        <stp/>
        <stp/>
        <stp>T</stp>
        <tr r="S29" s="4"/>
      </tp>
      <tp>
        <v>3.67</v>
        <stp/>
        <stp>StudyData</stp>
        <stp>Consolidate(FVS?1-VX?1,5X,FVS?1-VX?1,1,0)</stp>
        <stp>Bar</stp>
        <stp/>
        <stp>Open</stp>
        <stp>D</stp>
        <stp>-17</stp>
        <stp/>
        <stp/>
        <stp/>
        <stp/>
        <stp>T</stp>
        <tr r="S19" s="4"/>
      </tp>
      <tp>
        <v>4.2</v>
        <stp/>
        <stp>StudyData</stp>
        <stp>Consolidate(FVS?1-VX?1,5X,FVS?1-VX?1,1,0)</stp>
        <stp>Bar</stp>
        <stp/>
        <stp>High</stp>
        <stp>D</stp>
        <stp>-4</stp>
        <stp/>
        <stp/>
        <stp/>
        <stp/>
        <stp>T</stp>
        <tr r="T6" s="4"/>
      </tp>
      <tp>
        <v>3.68</v>
        <stp/>
        <stp>StudyData</stp>
        <stp>Consolidate(FVS?1-VX?1,5X,FVS?1-VX?1,1,0)</stp>
        <stp>Bar</stp>
        <stp/>
        <stp>Open</stp>
        <stp>D</stp>
        <stp>-24</stp>
        <stp/>
        <stp/>
        <stp/>
        <stp/>
        <stp>T</stp>
        <tr r="S26" s="4"/>
      </tp>
      <tp>
        <v>3.37</v>
        <stp/>
        <stp>StudyData</stp>
        <stp>Consolidate(FVS?1-VX?1,5X,FVS?1-VX?1,1,0)</stp>
        <stp>Bar</stp>
        <stp/>
        <stp>Open</stp>
        <stp>D</stp>
        <stp>-14</stp>
        <stp/>
        <stp/>
        <stp/>
        <stp/>
        <stp>T</stp>
        <tr r="S16" s="4"/>
      </tp>
      <tp>
        <v>3.7</v>
        <stp/>
        <stp>StudyData</stp>
        <stp>Consolidate(FVS?1-VX?1,5X,FVS?1-VX?1,1,0)</stp>
        <stp>Bar</stp>
        <stp/>
        <stp>Last</stp>
        <stp>D</stp>
        <stp>-3</stp>
        <stp/>
        <stp/>
        <stp/>
        <stp/>
        <stp>T</stp>
        <tr r="V5" s="4"/>
      </tp>
      <tp>
        <v>5.2</v>
        <stp/>
        <stp>StudyData</stp>
        <stp>Consolidate(FVS?1-VX?1,5X,FVS?1-VX?1,1,0)</stp>
        <stp>Bar</stp>
        <stp/>
        <stp>High</stp>
        <stp>D</stp>
        <stp>-7</stp>
        <stp/>
        <stp/>
        <stp/>
        <stp/>
        <stp>T</stp>
        <tr r="T9" s="4"/>
      </tp>
      <tp>
        <v>3.53</v>
        <stp/>
        <stp>StudyData</stp>
        <stp>Consolidate(FVS?1-VX?1,5X,FVS?1-VX?1,1,0)</stp>
        <stp>Bar</stp>
        <stp/>
        <stp>Low</stp>
        <stp>D</stp>
        <stp>-3</stp>
        <stp/>
        <stp/>
        <stp/>
        <stp/>
        <stp>T</stp>
        <tr r="U5" s="4"/>
      </tp>
      <tp>
        <v>3.55</v>
        <stp/>
        <stp>StudyData</stp>
        <stp>Consolidate(FVS?1-VX?1,5X,FVS?1-VX?1,1,0)</stp>
        <stp>Bar</stp>
        <stp/>
        <stp>Open</stp>
        <stp>D</stp>
        <stp>-1</stp>
        <stp/>
        <stp/>
        <stp/>
        <stp/>
        <stp>T</stp>
        <tr r="S3" s="4"/>
      </tp>
      <tp>
        <v>3.85</v>
        <stp/>
        <stp>StudyData</stp>
        <stp>Consolidate(FVS?1-VX?1,5X,FVS?1-VX?1,1,0)</stp>
        <stp>Bar</stp>
        <stp/>
        <stp>Open</stp>
        <stp>D</stp>
        <stp>-25</stp>
        <stp/>
        <stp/>
        <stp/>
        <stp/>
        <stp>T</stp>
        <tr r="S27" s="4"/>
      </tp>
      <tp>
        <v>4.9000000000000004</v>
        <stp/>
        <stp>StudyData</stp>
        <stp>Consolidate(FVS?1-VX?1,5X,FVS?1-VX?1,1,0)</stp>
        <stp>Bar</stp>
        <stp/>
        <stp>Open</stp>
        <stp>D</stp>
        <stp>-15</stp>
        <stp/>
        <stp/>
        <stp/>
        <stp/>
        <stp>T</stp>
        <tr r="S17" s="4"/>
      </tp>
      <tp>
        <v>3.6</v>
        <stp/>
        <stp>StudyData</stp>
        <stp>Consolidate(FVS?1-VX?1,5X,FVS?1-VX?1,1,0)</stp>
        <stp>Bar</stp>
        <stp/>
        <stp>Last</stp>
        <stp>D</stp>
        <stp>-2</stp>
        <stp/>
        <stp/>
        <stp/>
        <stp/>
        <stp>T</stp>
        <tr r="V4" s="4"/>
      </tp>
      <tp>
        <v>5.01</v>
        <stp/>
        <stp>StudyData</stp>
        <stp>Consolidate(FVS?1-VX?1,5X,FVS?1-VX?1,1,0)</stp>
        <stp>Bar</stp>
        <stp/>
        <stp>High</stp>
        <stp>D</stp>
        <stp>-6</stp>
        <stp/>
        <stp/>
        <stp/>
        <stp/>
        <stp>T</stp>
        <tr r="T8" s="4"/>
      </tp>
      <tp>
        <v>3.45</v>
        <stp/>
        <stp>StudyData</stp>
        <stp>Consolidate(FVS?1-VX?1,5X,FVS?1-VX?1,1,0)</stp>
        <stp>Bar</stp>
        <stp/>
        <stp>Low</stp>
        <stp>D</stp>
        <stp>-2</stp>
        <stp/>
        <stp/>
        <stp/>
        <stp/>
        <stp>T</stp>
        <tr r="U4" s="4"/>
      </tp>
      <tp>
        <v>4.82</v>
        <stp/>
        <stp>StudyData</stp>
        <stp>Consolidate(FVS?1-VX?1,5X,FVS?1-VX?1,1,0)</stp>
        <stp>Bar</stp>
        <stp/>
        <stp>Open</stp>
        <stp>D</stp>
        <stp>-6</stp>
        <stp/>
        <stp/>
        <stp/>
        <stp/>
        <stp>T</stp>
        <tr r="S8" s="4"/>
      </tp>
      <tp>
        <v>3.82</v>
        <stp/>
        <stp>StudyData</stp>
        <stp>Consolidate(FVS?1-VX?1,5X,FVS?1-VX?1,1,0)</stp>
        <stp>Bar</stp>
        <stp/>
        <stp>Open</stp>
        <stp>D</stp>
        <stp>-22</stp>
        <stp/>
        <stp/>
        <stp/>
        <stp/>
        <stp>T</stp>
        <tr r="S24" s="4"/>
      </tp>
      <tp>
        <v>3.5</v>
        <stp/>
        <stp>StudyData</stp>
        <stp>Consolidate(FVS?1-VX?1,5X,FVS?1-VX?1,1,0)</stp>
        <stp>Bar</stp>
        <stp/>
        <stp>Open</stp>
        <stp>D</stp>
        <stp>-12</stp>
        <stp/>
        <stp/>
        <stp/>
        <stp/>
        <stp>T</stp>
        <tr r="S14" s="4"/>
      </tp>
      <tp>
        <v>4.6500000000000004</v>
        <stp/>
        <stp>StudyData</stp>
        <stp>Consolidate(FVS?1-VX?1,5X,FVS?1-VX?1,1,0)</stp>
        <stp>Bar</stp>
        <stp/>
        <stp>Last</stp>
        <stp>D</stp>
        <stp>-5</stp>
        <stp/>
        <stp/>
        <stp/>
        <stp/>
        <stp>T</stp>
        <tr r="V7" s="4"/>
      </tp>
      <tp>
        <v>3.64</v>
        <stp/>
        <stp>StudyData</stp>
        <stp>Consolidate(FVS?1-VX?1,5X,FVS?1-VX?1,1,0)</stp>
        <stp>Bar</stp>
        <stp/>
        <stp>High</stp>
        <stp>D</stp>
        <stp>-1</stp>
        <stp/>
        <stp/>
        <stp/>
        <stp/>
        <stp>T</stp>
        <tr r="T3" s="4"/>
      </tp>
      <tp>
        <v>4.4400000000000004</v>
        <stp/>
        <stp>StudyData</stp>
        <stp>Consolidate(FVS?1-VX?1,5X,FVS?1-VX?1,1,0)</stp>
        <stp>Bar</stp>
        <stp/>
        <stp>Low</stp>
        <stp>D</stp>
        <stp>-5</stp>
        <stp/>
        <stp/>
        <stp/>
        <stp/>
        <stp>T</stp>
        <tr r="U7" s="4"/>
      </tp>
      <tp>
        <v>4.42</v>
        <stp/>
        <stp>StudyData</stp>
        <stp>Consolidate(FVS?1-VX?1,5X,FVS?1-VX?1,1,0)</stp>
        <stp>Bar</stp>
        <stp/>
        <stp>Open</stp>
        <stp>D</stp>
        <stp>-7</stp>
        <stp/>
        <stp/>
        <stp/>
        <stp/>
        <stp>T</stp>
        <tr r="S9" s="4"/>
      </tp>
      <tp>
        <v>2.91</v>
        <stp/>
        <stp>StudyData</stp>
        <stp>Consolidate(FVS?1-VX?1,5X,FVS?1-VX?1,1,0)</stp>
        <stp>Bar</stp>
        <stp/>
        <stp>Open</stp>
        <stp>D</stp>
        <stp>-23</stp>
        <stp/>
        <stp/>
        <stp/>
        <stp/>
        <stp>T</stp>
        <tr r="S25" s="4"/>
      </tp>
      <tp>
        <v>3.8</v>
        <stp/>
        <stp>StudyData</stp>
        <stp>Consolidate(FVS?1-VX?1,5X,FVS?1-VX?1,1,0)</stp>
        <stp>Bar</stp>
        <stp/>
        <stp>Open</stp>
        <stp>D</stp>
        <stp>-13</stp>
        <stp/>
        <stp/>
        <stp/>
        <stp/>
        <stp>T</stp>
        <tr r="S15" s="4"/>
      </tp>
      <tp>
        <v>3.85</v>
        <stp/>
        <stp>StudyData</stp>
        <stp>Consolidate(FVS?1-VX?1,5X,FVS?1-VX?1,1,0)</stp>
        <stp>Bar</stp>
        <stp/>
        <stp>Last</stp>
        <stp>D</stp>
        <stp>-4</stp>
        <stp/>
        <stp/>
        <stp/>
        <stp/>
        <stp>T</stp>
        <tr r="V6" s="4"/>
      </tp>
      <tp>
        <v>3.85</v>
        <stp/>
        <stp>StudyData</stp>
        <stp>Consolidate(FVS?1-VX?1,5X,FVS?1-VX?1,1,0)</stp>
        <stp>Bar</stp>
        <stp/>
        <stp>Low</stp>
        <stp>D</stp>
        <stp>-4</stp>
        <stp/>
        <stp/>
        <stp/>
        <stp/>
        <stp>T</stp>
        <tr r="U6" s="4"/>
      </tp>
      <tp>
        <v>3.95</v>
        <stp/>
        <stp>StudyData</stp>
        <stp>Consolidate(FVS?1-VX?1,5X,FVS?1-VX?1,1,0)</stp>
        <stp>Bar</stp>
        <stp/>
        <stp>Open</stp>
        <stp>D</stp>
        <stp>-4</stp>
        <stp/>
        <stp/>
        <stp/>
        <stp/>
        <stp>T</stp>
        <tr r="S6" s="4"/>
      </tp>
      <tp>
        <v>2.98</v>
        <stp/>
        <stp>StudyData</stp>
        <stp>Consolidate(FVS?1-VX?1,5X,FVS?1-VX?1,1,0)</stp>
        <stp>Bar</stp>
        <stp/>
        <stp>Open</stp>
        <stp>D</stp>
        <stp>-20</stp>
        <stp/>
        <stp/>
        <stp/>
        <stp/>
        <stp>T</stp>
        <tr r="S22" s="4"/>
      </tp>
      <tp>
        <v>3.98</v>
        <stp/>
        <stp>StudyData</stp>
        <stp>Consolidate(FVS?1-VX?1,5X,FVS?1-VX?1,1,0)</stp>
        <stp>Bar</stp>
        <stp/>
        <stp>Open</stp>
        <stp>D</stp>
        <stp>-10</stp>
        <stp/>
        <stp/>
        <stp/>
        <stp/>
        <stp>T</stp>
        <tr r="S12" s="4"/>
      </tp>
      <tp>
        <v>5.2</v>
        <stp/>
        <stp>StudyData</stp>
        <stp>Consolidate(FVS?1-VX?1,5X,FVS?1-VX?1,1,0)</stp>
        <stp>Bar</stp>
        <stp/>
        <stp>Last</stp>
        <stp>D</stp>
        <stp>-7</stp>
        <stp/>
        <stp/>
        <stp/>
        <stp/>
        <stp>T</stp>
        <tr r="V9" s="4"/>
      </tp>
      <tp>
        <v>3.83</v>
        <stp/>
        <stp>StudyData</stp>
        <stp>Consolidate(FVS?1-VX?1,5X,FVS?1-VX?1,1,0)</stp>
        <stp>Bar</stp>
        <stp/>
        <stp>High</stp>
        <stp>D</stp>
        <stp>-3</stp>
        <stp/>
        <stp/>
        <stp/>
        <stp/>
        <stp>T</stp>
        <tr r="T5" s="4"/>
      </tp>
      <tp>
        <v>4.33</v>
        <stp/>
        <stp>StudyData</stp>
        <stp>Consolidate(FVS?1-VX?1,5X,FVS?1-VX?1,1,0)</stp>
        <stp>Bar</stp>
        <stp/>
        <stp>Low</stp>
        <stp>D</stp>
        <stp>-7</stp>
        <stp/>
        <stp/>
        <stp/>
        <stp/>
        <stp>T</stp>
        <tr r="U9" s="4"/>
      </tp>
      <tp>
        <v>4.67</v>
        <stp/>
        <stp>StudyData</stp>
        <stp>Consolidate(FVS?1-VX?1,5X,FVS?1-VX?1,1,0)</stp>
        <stp>Bar</stp>
        <stp/>
        <stp>Open</stp>
        <stp>D</stp>
        <stp>-5</stp>
        <stp/>
        <stp/>
        <stp/>
        <stp/>
        <stp>T</stp>
        <tr r="S7" s="4"/>
      </tp>
      <tp>
        <v>2.8</v>
        <stp/>
        <stp>StudyData</stp>
        <stp>Consolidate(FVS?1-VX?1,5X,FVS?1-VX?1,1,0)</stp>
        <stp>Bar</stp>
        <stp/>
        <stp>Open</stp>
        <stp>D</stp>
        <stp>-21</stp>
        <stp/>
        <stp/>
        <stp/>
        <stp/>
        <stp>T</stp>
        <tr r="S23" s="4"/>
      </tp>
      <tp>
        <v>3.9</v>
        <stp/>
        <stp>StudyData</stp>
        <stp>Consolidate(FVS?1-VX?1,5X,FVS?1-VX?1,1,0)</stp>
        <stp>Bar</stp>
        <stp/>
        <stp>Open</stp>
        <stp>D</stp>
        <stp>-11</stp>
        <stp/>
        <stp/>
        <stp/>
        <stp/>
        <stp>T</stp>
        <tr r="S13" s="4"/>
      </tp>
      <tp>
        <v>4.55</v>
        <stp/>
        <stp>StudyData</stp>
        <stp>Consolidate(FVS?1-VX?1,5X,FVS?1-VX?1,1,0)</stp>
        <stp>Bar</stp>
        <stp/>
        <stp>Last</stp>
        <stp>D</stp>
        <stp>-6</stp>
        <stp/>
        <stp/>
        <stp/>
        <stp/>
        <stp>T</stp>
        <tr r="V8" s="4"/>
      </tp>
      <tp>
        <v>3.63</v>
        <stp/>
        <stp>StudyData</stp>
        <stp>Consolidate(FVS?1-VX?1,5X,FVS?1-VX?1,1,0)</stp>
        <stp>Bar</stp>
        <stp/>
        <stp>High</stp>
        <stp>D</stp>
        <stp>-2</stp>
        <stp/>
        <stp/>
        <stp/>
        <stp/>
        <stp>T</stp>
        <tr r="T4" s="4"/>
      </tp>
      <tp>
        <v>4.55</v>
        <stp/>
        <stp>StudyData</stp>
        <stp>Consolidate(FVS?1-VX?1,5X,FVS?1-VX?1,1,0)</stp>
        <stp>Bar</stp>
        <stp/>
        <stp>Low</stp>
        <stp>D</stp>
        <stp>-6</stp>
        <stp/>
        <stp/>
        <stp/>
        <stp/>
        <stp>T</stp>
        <tr r="U8" s="4"/>
      </tp>
      <tp>
        <v>4.6500000000000004</v>
        <stp/>
        <stp>StudyData</stp>
        <stp>Consolidate(FVS?1-VX?1,5X,FVS?1-VX?1,1,0)</stp>
        <stp>Bar</stp>
        <stp/>
        <stp>Last</stp>
        <stp>D</stp>
        <stp>-9</stp>
        <stp/>
        <stp/>
        <stp/>
        <stp/>
        <stp>T</stp>
        <tr r="V11" s="4"/>
      </tp>
      <tp>
        <v>1920</v>
        <stp/>
        <stp>StudyData</stp>
        <stp>FVSN3</stp>
        <stp>Bar</stp>
        <stp/>
        <stp>Close</stp>
        <stp>180</stp>
        <stp>-1</stp>
        <stp/>
        <stp>VIXVSTOXX</stp>
        <tr r="AJ14" s="3"/>
      </tp>
      <tp>
        <v>19.2</v>
        <stp/>
        <stp>StudyData</stp>
        <stp>FVSN3</stp>
        <stp>Bar</stp>
        <stp/>
        <stp>Close</stp>
        <stp>180</stp>
        <stp>-1</stp>
        <stp/>
        <stp>VIXVSTOXX</stp>
        <stp/>
        <stp/>
        <stp>T</stp>
        <tr r="D12" s="5"/>
        <tr r="D12" s="5"/>
      </tp>
      <tp>
        <v>4.6500000000000004</v>
        <stp/>
        <stp>StudyData</stp>
        <stp>Consolidate(FVS?1-VX?1,5X,FVS?1-VX?1,1,0)</stp>
        <stp>Bar</stp>
        <stp/>
        <stp>Low</stp>
        <stp>D</stp>
        <stp>-9</stp>
        <stp/>
        <stp/>
        <stp/>
        <stp/>
        <stp>T</stp>
        <tr r="U11" s="4"/>
      </tp>
      <tp>
        <v>5.2</v>
        <stp/>
        <stp>StudyData</stp>
        <stp>Consolidate(FVS?1-VX?1,5X,FVS?1-VX?1,1,0)</stp>
        <stp>Bar</stp>
        <stp/>
        <stp>Last</stp>
        <stp>D</stp>
        <stp>-8</stp>
        <stp/>
        <stp/>
        <stp/>
        <stp/>
        <stp>T</stp>
        <tr r="V10" s="4"/>
      </tp>
      <tp>
        <v>3.83</v>
        <stp/>
        <stp>StudyData</stp>
        <stp>Consolidate(FVS?1-VX?1,5X,FVS?1-VX?1,1,0)</stp>
        <stp>Bar</stp>
        <stp/>
        <stp>Low</stp>
        <stp>D</stp>
        <stp>-8</stp>
        <stp/>
        <stp/>
        <stp/>
        <stp/>
        <stp>T</stp>
        <tr r="U10" s="4"/>
      </tp>
      <tp>
        <v>5.12</v>
        <stp/>
        <stp>StudyData</stp>
        <stp>Consolidate(FVS?1-VX?1,5X,FVS?1-VX?1,1,0)</stp>
        <stp>Bar</stp>
        <stp/>
        <stp>Open</stp>
        <stp>D</stp>
        <stp>-8</stp>
        <stp/>
        <stp/>
        <stp/>
        <stp/>
        <stp>T</stp>
        <tr r="S10" s="4"/>
      </tp>
      <tp t="s">
        <v>CBOE Volatility Index (VIX) Futures, Aug 13</v>
        <stp/>
        <stp>ContractData</stp>
        <stp>VXQ3</stp>
        <stp>LongDescription</stp>
        <tr r="K7" s="2"/>
        <tr r="L4" s="2"/>
        <tr r="AH2" s="6"/>
        <tr r="AE30" s="2"/>
      </tp>
      <tp>
        <v>13.780000000000001</v>
        <stp/>
        <stp>ContractData</stp>
        <stp>VXC</stp>
        <stp>LastPrice</stp>
        <stp/>
        <stp>T</stp>
        <tr r="AF1" s="6"/>
        <tr r="P14" s="2"/>
      </tp>
      <tp t="s">
        <v>CBOE Volatility Index (VIX) Futures, Sep 13</v>
        <stp/>
        <stp>ContractData</stp>
        <stp>VXU3</stp>
        <stp>LongDescription</stp>
        <tr r="L7" s="2"/>
        <tr r="AE31" s="2"/>
        <tr r="AH3" s="6"/>
      </tp>
      <tp t="s">
        <v>CBOE Volatility Index (VIX) Futures, Oct 13</v>
        <stp/>
        <stp>ContractData</stp>
        <stp>VXV3</stp>
        <stp>LongDescription</stp>
        <tr r="M7" s="2"/>
        <tr r="AE32" s="2"/>
        <tr r="AH4" s="6"/>
      </tp>
      <tp>
        <v>4.7300000000000004</v>
        <stp/>
        <stp>StudyData</stp>
        <stp>Consolidate(FVS?1-VX?1,5X,FVS?1-VX?1,1,0)</stp>
        <stp>Bar</stp>
        <stp/>
        <stp>Open</stp>
        <stp>D</stp>
        <stp>-9</stp>
        <stp/>
        <stp/>
        <stp/>
        <stp/>
        <stp>T</stp>
        <tr r="S11" s="4"/>
      </tp>
      <tp t="s">
        <v>CBOE Volatility Index (VIX) Futures, Nov 13</v>
        <stp/>
        <stp>ContractData</stp>
        <stp>VXX3</stp>
        <stp>LongDescription</stp>
        <tr r="N7" s="2"/>
        <tr r="AH5" s="6"/>
        <tr r="AE33" s="2"/>
      </tp>
      <tp t="s">
        <v>CBOE Volatility Index (VIX) Futures, Dec 13</v>
        <stp/>
        <stp>ContractData</stp>
        <stp>VXZ3</stp>
        <stp>LongDescription</stp>
        <tr r="O7" s="2"/>
        <tr r="AE34" s="2"/>
        <tr r="AH6" s="6"/>
      </tp>
      <tp t="s">
        <v>CBOE Volatility Index (VIX) Futures, Jan 14</v>
        <stp/>
        <stp>ContractData</stp>
        <stp>VXF4</stp>
        <stp>LongDescription</stp>
        <tr r="P7" s="2"/>
        <tr r="AE35" s="2"/>
        <tr r="AH7" s="6"/>
      </tp>
      <tp t="s">
        <v>CBOE Volatility Index (VIX) Futures, Feb 14</v>
        <stp/>
        <stp>ContractData</stp>
        <stp>VXG4</stp>
        <stp>LongDescription</stp>
        <tr r="AE36" s="2"/>
        <tr r="Q7" s="2"/>
        <tr r="AH8" s="6"/>
      </tp>
      <tp t="s">
        <v>CBOE Volatility Index (VIX) Futures, Mar 14</v>
        <stp/>
        <stp>ContractData</stp>
        <stp>VXH4</stp>
        <stp>LongDescription</stp>
        <tr r="R7" s="2"/>
        <tr r="AE37" s="2"/>
        <tr r="AH9" s="6"/>
      </tp>
      <tp t="s">
        <v>CBOE Volatility Index (VIX) Futures, Apr 14</v>
        <stp/>
        <stp>ContractData</stp>
        <stp>VXJ4</stp>
        <stp>LongDescription</stp>
        <tr r="S7" s="2"/>
        <tr r="AE38" s="2"/>
        <tr r="AH10" s="6"/>
      </tp>
      <tp>
        <v>4.97</v>
        <stp/>
        <stp>StudyData</stp>
        <stp>Consolidate(FVS?1-VX?1,5X,FVS?1-VX?1,1,0)</stp>
        <stp>Bar</stp>
        <stp/>
        <stp>High</stp>
        <stp>D</stp>
        <stp>-9</stp>
        <stp/>
        <stp/>
        <stp/>
        <stp/>
        <stp>T</stp>
        <tr r="T11" s="4"/>
      </tp>
      <tp>
        <v>5.2</v>
        <stp/>
        <stp>StudyData</stp>
        <stp>Consolidate(FVS?1-VX?1,5X,FVS?1-VX?1,1,0)</stp>
        <stp>Bar</stp>
        <stp/>
        <stp>High</stp>
        <stp>D</stp>
        <stp>-8</stp>
        <stp/>
        <stp/>
        <stp/>
        <stp/>
        <stp>T</stp>
        <tr r="T10" s="4"/>
      </tp>
      <tp>
        <v>3.3</v>
        <stp/>
        <stp>StudyData</stp>
        <stp>Consolidate(FVS?1-VX?1,5X,FVS?1-VX?1,1,0)</stp>
        <stp>Bar</stp>
        <stp/>
        <stp>Open</stp>
        <stp>D</stp>
        <stp>-28</stp>
        <stp/>
        <stp/>
        <stp/>
        <stp/>
        <stp>T</stp>
        <tr r="S30" s="4"/>
      </tp>
      <tp>
        <v>3.63</v>
        <stp/>
        <stp>StudyData</stp>
        <stp>Consolidate(FVS?1-VX?1,5X,FVS?1-VX?1,1,0)</stp>
        <stp>Bar</stp>
        <stp/>
        <stp>Open</stp>
        <stp>D</stp>
        <stp>-18</stp>
        <stp/>
        <stp/>
        <stp/>
        <stp/>
        <stp>T</stp>
        <tr r="S20" s="4"/>
      </tp>
      <tp>
        <v>3.19</v>
        <stp/>
        <stp>StudyData</stp>
        <stp>Consolidate(FVS?1-VX?1,5X,FVS?1-VX?1,1,0)</stp>
        <stp>Bar</stp>
        <stp/>
        <stp>Open</stp>
        <stp>D</stp>
        <stp>-29</stp>
        <stp/>
        <stp/>
        <stp/>
        <stp/>
        <stp>T</stp>
        <tr r="S31" s="4"/>
      </tp>
      <tp>
        <v>2.95</v>
        <stp/>
        <stp>StudyData</stp>
        <stp>Consolidate(FVS?1-VX?1,5X,FVS?1-VX?1,1,0)</stp>
        <stp>Bar</stp>
        <stp/>
        <stp>Open</stp>
        <stp>D</stp>
        <stp>-19</stp>
        <stp/>
        <stp/>
        <stp/>
        <stp/>
        <stp>T</stp>
        <tr r="S21" s="4"/>
      </tp>
      <tp>
        <v>16.95</v>
        <stp/>
        <stp>ContractData</stp>
        <stp>VXU3</stp>
        <stp>LastTradeorSettle</stp>
        <stp/>
        <stp>T</stp>
        <tr r="L10" s="2"/>
        <tr r="R3" s="6"/>
      </tp>
      <tp>
        <v>17.850000000000001</v>
        <stp/>
        <stp>ContractData</stp>
        <stp>VXV3</stp>
        <stp>LastTradeorSettle</stp>
        <stp/>
        <stp>T</stp>
        <tr r="M10" s="2"/>
        <tr r="R4" s="6"/>
      </tp>
      <tp>
        <v>22.7</v>
        <stp/>
        <stp>ContractData</stp>
        <stp>FVSX3</stp>
        <stp>LastTradeorSettle</stp>
        <stp/>
        <stp>T</stp>
        <tr r="G10" s="2"/>
        <tr r="R6" s="3"/>
      </tp>
      <tp>
        <v>15.6</v>
        <stp/>
        <stp>ContractData</stp>
        <stp>VXQ3</stp>
        <stp>LastTradeorSettle</stp>
        <stp/>
        <stp>T</stp>
        <tr r="K10" s="2"/>
        <tr r="R2" s="6"/>
      </tp>
      <tp t="s">
        <v>AUG</v>
        <stp/>
        <stp>ContractData</stp>
        <stp>VX?1</stp>
        <stp>ContractMonth</stp>
        <tr r="J2" s="4"/>
      </tp>
      <tp>
        <v>22</v>
        <stp/>
        <stp>ContractData</stp>
        <stp>FVSZ3</stp>
        <stp>LastTradeorSettle</stp>
        <stp/>
        <stp>T</stp>
        <tr r="H10" s="2"/>
        <tr r="R7" s="3"/>
      </tp>
      <tp>
        <v>21.55</v>
        <stp/>
        <stp>ContractData</stp>
        <stp>FVSU3</stp>
        <stp>LastTradeorSettle</stp>
        <stp/>
        <stp>T</stp>
        <tr r="E10" s="2"/>
        <tr r="R4" s="3"/>
      </tp>
      <tp>
        <v>3.15</v>
        <stp/>
        <stp>StudyData</stp>
        <stp>Consolidate(FVS?1-VX?1,5X,FVS?1-VX?1,1,0)</stp>
        <stp>Bar</stp>
        <stp/>
        <stp>Open</stp>
        <stp>D</stp>
        <stp/>
        <stp/>
        <stp/>
        <stp/>
        <stp/>
        <stp>T</stp>
        <tr r="W38" s="2"/>
      </tp>
      <tp>
        <v>20.150000000000002</v>
        <stp/>
        <stp>ContractData</stp>
        <stp>V2TX</stp>
        <stp>High</stp>
        <stp/>
        <stp>T</stp>
        <tr r="E15" s="2"/>
      </tp>
      <tp>
        <v>14.42</v>
        <stp/>
        <stp>ContractData</stp>
        <stp>VXC[-1]</stp>
        <stp>LastPrice</stp>
        <stp/>
        <stp>T</stp>
        <tr r="AL1" s="6"/>
      </tp>
      <tp>
        <v>22.1</v>
        <stp/>
        <stp>ContractData</stp>
        <stp>FVSV3</stp>
        <stp>LastTradeorSettle</stp>
        <stp/>
        <stp>T</stp>
        <tr r="F10" s="2"/>
        <tr r="R5" s="3"/>
      </tp>
      <tp>
        <v>4.24</v>
        <stp/>
        <stp>StudyData</stp>
        <stp>Consolidate(FVS?1-VX?1,5X,FVS?1-VX?1,1,0)</stp>
        <stp>Bar</stp>
        <stp/>
        <stp>High</stp>
        <stp>D</stp>
        <stp/>
        <stp/>
        <stp/>
        <stp/>
        <stp/>
        <stp>T</stp>
        <tr r="X38" s="2"/>
      </tp>
      <tp>
        <v>20.55</v>
        <stp/>
        <stp>ContractData</stp>
        <stp>FVSQ3</stp>
        <stp>LastTradeorSettle</stp>
        <stp/>
        <stp>T</stp>
        <tr r="D10" s="2"/>
        <tr r="R3" s="3"/>
      </tp>
      <tp>
        <v>-0.76000000000000156</v>
        <stp/>
        <stp>ContractData</stp>
        <stp>V2TX</stp>
        <stp>NetChange</stp>
        <stp/>
        <stp>T</stp>
        <tr r="H14" s="2"/>
      </tp>
      <tp>
        <v>18.45</v>
        <stp/>
        <stp>ContractData</stp>
        <stp>VXX3</stp>
        <stp>LastTradeorSettle</stp>
        <stp/>
        <stp>T</stp>
        <tr r="N10" s="2"/>
        <tr r="R5" s="6"/>
      </tp>
      <tp>
        <v>19.11</v>
        <stp/>
        <stp>ContractData</stp>
        <stp>V2TX</stp>
        <stp>Open</stp>
        <stp/>
        <stp>T</stp>
        <tr r="D15" s="2"/>
      </tp>
      <tp>
        <v>18.900000000000002</v>
        <stp/>
        <stp>ContractData</stp>
        <stp>VXZ3</stp>
        <stp>LastTradeorSettle</stp>
        <stp/>
        <stp>T</stp>
        <tr r="O10" s="2"/>
        <tr r="R6" s="6"/>
      </tp>
      <tp>
        <v>19.7</v>
        <stp/>
        <stp>ContractData</stp>
        <stp>VXF4</stp>
        <stp>LastTradeorSettle</stp>
        <stp/>
        <stp>T</stp>
        <tr r="P10" s="2"/>
        <tr r="R7" s="6"/>
      </tp>
      <tp>
        <v>19.84</v>
        <stp/>
        <stp>ContractData</stp>
        <stp>FVSN3</stp>
        <stp>LastTradeorSettle</stp>
        <stp/>
        <stp>T</stp>
        <tr r="B10" s="2"/>
        <tr r="R2" s="3"/>
      </tp>
      <tp>
        <v>20.150000000000002</v>
        <stp/>
        <stp>ContractData</stp>
        <stp>VXG4</stp>
        <stp>LastTradeorSettle</stp>
        <stp/>
        <stp>T</stp>
        <tr r="Q10" s="2"/>
        <tr r="R8" s="6"/>
      </tp>
      <tp>
        <v>18.48</v>
        <stp/>
        <stp>ContractData</stp>
        <stp>V2TX</stp>
        <stp>Settlement</stp>
        <stp/>
        <stp>T</stp>
        <tr r="AJ1" s="3"/>
      </tp>
      <tp>
        <v>41444</v>
        <stp/>
        <stp>StudyData</stp>
        <stp>Q.FVSVXSpread</stp>
        <stp>Bar</stp>
        <stp/>
        <stp>Time</stp>
        <stp>D</stp>
        <stp>-19</stp>
        <stp>all</stp>
        <stp/>
        <stp/>
        <stp>False</stp>
        <tr r="X21" s="4"/>
      </tp>
      <tp>
        <v>41445</v>
        <stp/>
        <stp>StudyData</stp>
        <stp>Q.FVSVXSpread</stp>
        <stp>Bar</stp>
        <stp/>
        <stp>Time</stp>
        <stp>D</stp>
        <stp>-18</stp>
        <stp>all</stp>
        <stp/>
        <stp/>
        <stp>False</stp>
        <tr r="X20" s="4"/>
      </tp>
      <tp>
        <v>41452</v>
        <stp/>
        <stp>StudyData</stp>
        <stp>Q.FVSVXSpread</stp>
        <stp>Bar</stp>
        <stp/>
        <stp>Time</stp>
        <stp>D</stp>
        <stp>-13</stp>
        <stp>all</stp>
        <stp/>
        <stp/>
        <stp>False</stp>
        <tr r="X15" s="4"/>
      </tp>
      <tp>
        <v>41453</v>
        <stp/>
        <stp>StudyData</stp>
        <stp>Q.FVSVXSpread</stp>
        <stp>Bar</stp>
        <stp/>
        <stp>Time</stp>
        <stp>D</stp>
        <stp>-12</stp>
        <stp>all</stp>
        <stp/>
        <stp/>
        <stp>False</stp>
        <tr r="X14" s="4"/>
      </tp>
      <tp>
        <v>41456</v>
        <stp/>
        <stp>StudyData</stp>
        <stp>Q.FVSVXSpread</stp>
        <stp>Bar</stp>
        <stp/>
        <stp>Time</stp>
        <stp>D</stp>
        <stp>-11</stp>
        <stp>all</stp>
        <stp/>
        <stp/>
        <stp>False</stp>
        <tr r="X13" s="4"/>
      </tp>
      <tp>
        <v>41457</v>
        <stp/>
        <stp>StudyData</stp>
        <stp>Q.FVSVXSpread</stp>
        <stp>Bar</stp>
        <stp/>
        <stp>Time</stp>
        <stp>D</stp>
        <stp>-10</stp>
        <stp>all</stp>
        <stp/>
        <stp/>
        <stp>False</stp>
        <tr r="X12" s="4"/>
      </tp>
      <tp>
        <v>41446</v>
        <stp/>
        <stp>StudyData</stp>
        <stp>Q.FVSVXSpread</stp>
        <stp>Bar</stp>
        <stp/>
        <stp>Time</stp>
        <stp>D</stp>
        <stp>-17</stp>
        <stp>all</stp>
        <stp/>
        <stp/>
        <stp>False</stp>
        <tr r="X19" s="4"/>
      </tp>
      <tp>
        <v>41449</v>
        <stp/>
        <stp>StudyData</stp>
        <stp>Q.FVSVXSpread</stp>
        <stp>Bar</stp>
        <stp/>
        <stp>Time</stp>
        <stp>D</stp>
        <stp>-16</stp>
        <stp>all</stp>
        <stp/>
        <stp/>
        <stp>False</stp>
        <tr r="X18" s="4"/>
      </tp>
      <tp>
        <v>41450</v>
        <stp/>
        <stp>StudyData</stp>
        <stp>Q.FVSVXSpread</stp>
        <stp>Bar</stp>
        <stp/>
        <stp>Time</stp>
        <stp>D</stp>
        <stp>-15</stp>
        <stp>all</stp>
        <stp/>
        <stp/>
        <stp>False</stp>
        <tr r="X17" s="4"/>
      </tp>
      <tp>
        <v>41451</v>
        <stp/>
        <stp>StudyData</stp>
        <stp>Q.FVSVXSpread</stp>
        <stp>Bar</stp>
        <stp/>
        <stp>Time</stp>
        <stp>D</stp>
        <stp>-14</stp>
        <stp>all</stp>
        <stp/>
        <stp/>
        <stp>False</stp>
        <tr r="X16" s="4"/>
      </tp>
      <tp>
        <v>41430</v>
        <stp/>
        <stp>StudyData</stp>
        <stp>Q.FVSVXSpread</stp>
        <stp>Bar</stp>
        <stp/>
        <stp>Time</stp>
        <stp>D</stp>
        <stp>-29</stp>
        <stp>all</stp>
        <stp/>
        <stp/>
        <stp>False</stp>
        <tr r="X31" s="4"/>
      </tp>
      <tp>
        <v>41431</v>
        <stp/>
        <stp>StudyData</stp>
        <stp>Q.FVSVXSpread</stp>
        <stp>Bar</stp>
        <stp/>
        <stp>Time</stp>
        <stp>D</stp>
        <stp>-28</stp>
        <stp>all</stp>
        <stp/>
        <stp/>
        <stp>False</stp>
        <tr r="X30" s="4"/>
      </tp>
      <tp>
        <v>41438</v>
        <stp/>
        <stp>StudyData</stp>
        <stp>Q.FVSVXSpread</stp>
        <stp>Bar</stp>
        <stp/>
        <stp>Time</stp>
        <stp>D</stp>
        <stp>-23</stp>
        <stp>all</stp>
        <stp/>
        <stp/>
        <stp>False</stp>
        <tr r="X25" s="4"/>
      </tp>
      <tp>
        <v>41439</v>
        <stp/>
        <stp>StudyData</stp>
        <stp>Q.FVSVXSpread</stp>
        <stp>Bar</stp>
        <stp/>
        <stp>Time</stp>
        <stp>D</stp>
        <stp>-22</stp>
        <stp>all</stp>
        <stp/>
        <stp/>
        <stp>False</stp>
        <tr r="X24" s="4"/>
      </tp>
      <tp>
        <v>41442</v>
        <stp/>
        <stp>StudyData</stp>
        <stp>Q.FVSVXSpread</stp>
        <stp>Bar</stp>
        <stp/>
        <stp>Time</stp>
        <stp>D</stp>
        <stp>-21</stp>
        <stp>all</stp>
        <stp/>
        <stp/>
        <stp>False</stp>
        <tr r="X23" s="4"/>
      </tp>
      <tp>
        <v>41443</v>
        <stp/>
        <stp>StudyData</stp>
        <stp>Q.FVSVXSpread</stp>
        <stp>Bar</stp>
        <stp/>
        <stp>Time</stp>
        <stp>D</stp>
        <stp>-20</stp>
        <stp>all</stp>
        <stp/>
        <stp/>
        <stp>False</stp>
        <tr r="X22" s="4"/>
      </tp>
      <tp>
        <v>41432</v>
        <stp/>
        <stp>StudyData</stp>
        <stp>Q.FVSVXSpread</stp>
        <stp>Bar</stp>
        <stp/>
        <stp>Time</stp>
        <stp>D</stp>
        <stp>-27</stp>
        <stp>all</stp>
        <stp/>
        <stp/>
        <stp>False</stp>
        <tr r="X29" s="4"/>
      </tp>
      <tp>
        <v>41435</v>
        <stp/>
        <stp>StudyData</stp>
        <stp>Q.FVSVXSpread</stp>
        <stp>Bar</stp>
        <stp/>
        <stp>Time</stp>
        <stp>D</stp>
        <stp>-26</stp>
        <stp>all</stp>
        <stp/>
        <stp/>
        <stp>False</stp>
        <tr r="X28" s="4"/>
      </tp>
      <tp>
        <v>41436</v>
        <stp/>
        <stp>StudyData</stp>
        <stp>Q.FVSVXSpread</stp>
        <stp>Bar</stp>
        <stp/>
        <stp>Time</stp>
        <stp>D</stp>
        <stp>-25</stp>
        <stp>all</stp>
        <stp/>
        <stp/>
        <stp>False</stp>
        <tr r="X27" s="4"/>
      </tp>
      <tp>
        <v>41437</v>
        <stp/>
        <stp>StudyData</stp>
        <stp>Q.FVSVXSpread</stp>
        <stp>Bar</stp>
        <stp/>
        <stp>Time</stp>
        <stp>D</stp>
        <stp>-24</stp>
        <stp>all</stp>
        <stp/>
        <stp/>
        <stp>False</stp>
        <tr r="X26" s="4"/>
      </tp>
      <tp>
        <v>18.45</v>
        <stp/>
        <stp>ContractData</stp>
        <stp>V2TX</stp>
        <stp>Low</stp>
        <stp/>
        <stp>T</stp>
        <tr r="F15" s="2"/>
      </tp>
      <tp>
        <v>18.900000000000002</v>
        <stp/>
        <stp>ContractData</stp>
        <stp>VXZ3</stp>
        <stp>Ask</stp>
        <stp/>
        <stp>T</stp>
        <tr r="O8" s="2"/>
        <tr r="T6" s="6"/>
      </tp>
      <tp>
        <v>18.45</v>
        <stp/>
        <stp>ContractData</stp>
        <stp>VXX3</stp>
        <stp>Ask</stp>
        <stp/>
        <stp>T</stp>
        <tr r="N8" s="2"/>
        <tr r="T5" s="6"/>
      </tp>
      <tp>
        <v>15.6</v>
        <stp/>
        <stp>ContractData</stp>
        <stp>VXQ3</stp>
        <stp>Ask</stp>
        <stp/>
        <stp>T</stp>
        <tr r="K8" s="2"/>
        <tr r="T2" s="6"/>
      </tp>
      <tp>
        <v>17.850000000000001</v>
        <stp/>
        <stp>ContractData</stp>
        <stp>VXV3</stp>
        <stp>Ask</stp>
        <stp/>
        <stp>T</stp>
        <tr r="M8" s="2"/>
        <tr r="T4" s="6"/>
      </tp>
      <tp>
        <v>16.95</v>
        <stp/>
        <stp>ContractData</stp>
        <stp>VXU3</stp>
        <stp>Ask</stp>
        <stp/>
        <stp>T</stp>
        <tr r="L8" s="2"/>
        <tr r="T3" s="6"/>
      </tp>
      <tp t="s">
        <v/>
        <stp/>
        <stp>ContractData</stp>
        <stp>VXJ4</stp>
        <stp>Ask</stp>
        <stp/>
        <stp>T</stp>
        <tr r="S8" s="2"/>
        <tr r="T10" s="6"/>
      </tp>
      <tp>
        <v>20.55</v>
        <stp/>
        <stp>ContractData</stp>
        <stp>VXH4</stp>
        <stp>Ask</stp>
        <stp/>
        <stp>T</stp>
        <tr r="R8" s="2"/>
        <tr r="T9" s="6"/>
      </tp>
      <tp>
        <v>20.150000000000002</v>
        <stp/>
        <stp>ContractData</stp>
        <stp>VXG4</stp>
        <stp>Ask</stp>
        <stp/>
        <stp>T</stp>
        <tr r="Q8" s="2"/>
        <tr r="T8" s="6"/>
      </tp>
      <tp>
        <v>19.7</v>
        <stp/>
        <stp>ContractData</stp>
        <stp>VXF4</stp>
        <stp>Ask</stp>
        <stp/>
        <stp>T</stp>
        <tr r="P8" s="2"/>
        <tr r="T7" s="6"/>
      </tp>
      <tp>
        <v>20.100000000000001</v>
        <stp/>
        <stp>ContractData</stp>
        <stp>VXG4</stp>
        <stp>Bid</stp>
        <stp/>
        <stp>T</stp>
        <tr r="Q9" s="2"/>
        <tr r="S8" s="6"/>
      </tp>
      <tp>
        <v>19.650000000000002</v>
        <stp/>
        <stp>ContractData</stp>
        <stp>VXF4</stp>
        <stp>Bid</stp>
        <stp/>
        <stp>T</stp>
        <tr r="P9" s="2"/>
        <tr r="S7" s="6"/>
      </tp>
      <tp>
        <v>20.45</v>
        <stp/>
        <stp>ContractData</stp>
        <stp>VXH4</stp>
        <stp>Bid</stp>
        <stp/>
        <stp>T</stp>
        <tr r="R9" s="2"/>
        <tr r="S9" s="6"/>
      </tp>
      <tp t="s">
        <v/>
        <stp/>
        <stp>ContractData</stp>
        <stp>VXJ4</stp>
        <stp>Bid</stp>
        <stp/>
        <stp>T</stp>
        <tr r="S9" s="2"/>
        <tr r="S10" s="6"/>
      </tp>
      <tp>
        <v>15.55</v>
        <stp/>
        <stp>ContractData</stp>
        <stp>VXQ3</stp>
        <stp>Bid</stp>
        <stp/>
        <stp>T</stp>
        <tr r="K9" s="2"/>
        <tr r="S2" s="6"/>
      </tp>
      <tp>
        <v>16.899999999999999</v>
        <stp/>
        <stp>ContractData</stp>
        <stp>VXU3</stp>
        <stp>Bid</stp>
        <stp/>
        <stp>T</stp>
        <tr r="L9" s="2"/>
        <tr r="S3" s="6"/>
      </tp>
      <tp>
        <v>17.8</v>
        <stp/>
        <stp>ContractData</stp>
        <stp>VXV3</stp>
        <stp>Bid</stp>
        <stp/>
        <stp>T</stp>
        <tr r="M9" s="2"/>
        <tr r="S4" s="6"/>
      </tp>
      <tp>
        <v>18.400000000000002</v>
        <stp/>
        <stp>ContractData</stp>
        <stp>VXX3</stp>
        <stp>Bid</stp>
        <stp/>
        <stp>T</stp>
        <tr r="N9" s="2"/>
        <tr r="S5" s="6"/>
      </tp>
      <tp>
        <v>18.850000000000001</v>
        <stp/>
        <stp>ContractData</stp>
        <stp>VXZ3</stp>
        <stp>Bid</stp>
        <stp/>
        <stp>T</stp>
        <tr r="O9" s="2"/>
        <tr r="S6" s="6"/>
      </tp>
      <tp>
        <v>24.3</v>
        <stp/>
        <stp>ContractData</stp>
        <stp>FVSG4</stp>
        <stp>LastTradeorSettle</stp>
        <stp/>
        <stp>T</stp>
        <tr r="J10" s="2"/>
        <tr r="J10" s="2"/>
        <tr r="R9" s="3"/>
      </tp>
      <tp>
        <v>23.900000000000002</v>
        <stp/>
        <stp>ContractData</stp>
        <stp>FVSF4</stp>
        <stp>LastTradeorSettle</stp>
        <stp/>
        <stp>T</stp>
        <tr r="I10" s="2"/>
        <tr r="R8" s="3"/>
      </tp>
      <tp>
        <v>18.48</v>
        <stp/>
        <stp>ContractData</stp>
        <stp>V2TX</stp>
        <stp>LastPrice</stp>
        <stp/>
        <stp>T</stp>
        <tr r="AF1" s="3"/>
        <tr r="H14" s="2"/>
      </tp>
      <tp>
        <v>933</v>
        <stp/>
        <stp>StudyData</stp>
        <stp>VXG4</stp>
        <stp>Vol</stp>
        <stp>VolType=auto,CoCType=Contract</stp>
        <stp>Vol</stp>
        <stp>D</stp>
        <stp>0</stp>
        <stp>ALL</stp>
        <stp/>
        <stp/>
        <stp>TRUE</stp>
        <stp>T</stp>
        <tr r="AD36" s="2"/>
      </tp>
      <tp>
        <v>4070</v>
        <stp/>
        <stp>StudyData</stp>
        <stp>VXF4</stp>
        <stp>Vol</stp>
        <stp>VolType=auto,CoCType=Contract</stp>
        <stp>Vol</stp>
        <stp>D</stp>
        <stp>0</stp>
        <stp>ALL</stp>
        <stp/>
        <stp/>
        <stp>TRUE</stp>
        <stp>T</stp>
        <tr r="AD35" s="2"/>
      </tp>
      <tp t="s">
        <v/>
        <stp/>
        <stp>StudyData</stp>
        <stp>VXJ4</stp>
        <stp>Vol</stp>
        <stp>VolType=auto,CoCType=Contract</stp>
        <stp>Vol</stp>
        <stp>D</stp>
        <stp>0</stp>
        <stp>ALL</stp>
        <stp/>
        <stp/>
        <stp>TRUE</stp>
        <stp>T</stp>
        <tr r="AD38" s="2"/>
      </tp>
      <tp>
        <v>67</v>
        <stp/>
        <stp>StudyData</stp>
        <stp>VXH4</stp>
        <stp>Vol</stp>
        <stp>VolType=auto,CoCType=Contract</stp>
        <stp>Vol</stp>
        <stp>D</stp>
        <stp>0</stp>
        <stp>ALL</stp>
        <stp/>
        <stp/>
        <stp>TRUE</stp>
        <stp>T</stp>
        <tr r="AD37" s="2"/>
      </tp>
      <tp>
        <v>11319</v>
        <stp/>
        <stp>StudyData</stp>
        <stp>VXV3</stp>
        <stp>Vol</stp>
        <stp>VolType=auto,CoCType=Contract</stp>
        <stp>Vol</stp>
        <stp>D</stp>
        <stp>0</stp>
        <stp>ALL</stp>
        <stp/>
        <stp/>
        <stp>TRUE</stp>
        <stp>T</stp>
        <tr r="AD32" s="2"/>
      </tp>
      <tp>
        <v>34543</v>
        <stp/>
        <stp>StudyData</stp>
        <stp>VXU3</stp>
        <stp>Vol</stp>
        <stp>VolType=auto,CoCType=Contract</stp>
        <stp>Vol</stp>
        <stp>D</stp>
        <stp>0</stp>
        <stp>ALL</stp>
        <stp/>
        <stp/>
        <stp>TRUE</stp>
        <stp>T</stp>
        <tr r="AD31" s="2"/>
      </tp>
      <tp>
        <v>68769</v>
        <stp/>
        <stp>StudyData</stp>
        <stp>VXQ3</stp>
        <stp>Vol</stp>
        <stp>VolType=auto,CoCType=Contract</stp>
        <stp>Vol</stp>
        <stp>D</stp>
        <stp>0</stp>
        <stp>ALL</stp>
        <stp/>
        <stp/>
        <stp>TRUE</stp>
        <stp>T</stp>
        <tr r="AD30" s="2"/>
      </tp>
      <tp>
        <v>7547</v>
        <stp/>
        <stp>StudyData</stp>
        <stp>VXZ3</stp>
        <stp>Vol</stp>
        <stp>VolType=auto,CoCType=Contract</stp>
        <stp>Vol</stp>
        <stp>D</stp>
        <stp>0</stp>
        <stp>ALL</stp>
        <stp/>
        <stp/>
        <stp>TRUE</stp>
        <stp>T</stp>
        <tr r="AD34" s="2"/>
      </tp>
      <tp>
        <v>8066</v>
        <stp/>
        <stp>StudyData</stp>
        <stp>VXX3</stp>
        <stp>Vol</stp>
        <stp>VolType=auto,CoCType=Contract</stp>
        <stp>Vol</stp>
        <stp>D</stp>
        <stp>0</stp>
        <stp>ALL</stp>
        <stp/>
        <stp/>
        <stp>TRUE</stp>
        <stp>T</stp>
        <tr r="AD33" s="2"/>
      </tp>
      <tp t="s">
        <v>Mini VSTOXX, Nov 13</v>
        <stp/>
        <stp>ContractData</stp>
        <stp>FVSX3</stp>
        <stp>LongDescription</stp>
        <tr r="H6" s="5"/>
        <tr r="G7" s="2"/>
        <tr r="AB34" s="2"/>
        <tr r="AH6" s="3"/>
      </tp>
      <tp t="s">
        <v>Mini VSTOXX, Dec 13</v>
        <stp/>
        <stp>ContractData</stp>
        <stp>FVSZ3</stp>
        <stp>LongDescription</stp>
        <tr r="H7" s="5"/>
        <tr r="H7" s="2"/>
        <tr r="AB35" s="2"/>
        <tr r="AH7" s="3"/>
      </tp>
      <tp t="s">
        <v>Mini VSTOXX, Aug 13</v>
        <stp/>
        <stp>ContractData</stp>
        <stp>FVSQ3</stp>
        <stp>LongDescription</stp>
        <tr r="H3" s="5"/>
        <tr r="AB31" s="2"/>
        <tr r="D7" s="2"/>
        <tr r="AH3" s="3"/>
      </tp>
      <tp t="s">
        <v>Mini VSTOXX, Sep 13</v>
        <stp/>
        <stp>ContractData</stp>
        <stp>FVSU3</stp>
        <stp>LongDescription</stp>
        <tr r="H4" s="5"/>
        <tr r="E7" s="2"/>
        <tr r="AB32" s="2"/>
        <tr r="AH4" s="3"/>
      </tp>
      <tp t="s">
        <v>Mini VSTOXX, Oct 13</v>
        <stp/>
        <stp>ContractData</stp>
        <stp>FVSV3</stp>
        <stp>LongDescription</stp>
        <tr r="F7" s="2"/>
        <tr r="H5" s="5"/>
        <tr r="AB33" s="2"/>
        <tr r="AH5" s="3"/>
      </tp>
      <tp t="s">
        <v>Mini VSTOXX, Jul 13</v>
        <stp/>
        <stp>ContractData</stp>
        <stp>FVSN3</stp>
        <stp>LongDescription</stp>
        <tr r="H2" s="5"/>
        <tr r="AB30" s="2"/>
        <tr r="D4" s="2"/>
        <tr r="B7" s="2"/>
        <tr r="AH2" s="3"/>
      </tp>
      <tp t="s">
        <v>Mini VSTOXX, Feb 14</v>
        <stp/>
        <stp>ContractData</stp>
        <stp>FVSG4</stp>
        <stp>LongDescription</stp>
        <tr r="H9" s="5"/>
        <tr r="J7" s="2"/>
        <tr r="J7" s="2"/>
        <tr r="AB37" s="2"/>
        <tr r="AH9" s="3"/>
      </tp>
      <tp t="s">
        <v>Mini VSTOXX, Jan 14</v>
        <stp/>
        <stp>ContractData</stp>
        <stp>FVSF4</stp>
        <stp>LongDescription</stp>
        <tr r="I7" s="2"/>
        <tr r="H8" s="5"/>
        <tr r="AB36" s="2"/>
        <tr r="AH8" s="3"/>
      </tp>
      <tp>
        <v>20.5</v>
        <stp/>
        <stp>ContractData</stp>
        <stp>VXH4</stp>
        <stp>LastTradeorSettle</stp>
        <stp/>
        <stp>T</stp>
        <tr r="R10" s="2"/>
        <tr r="R9" s="6"/>
      </tp>
      <tp>
        <v>21951</v>
        <stp/>
        <stp>StudyData</stp>
        <stp>FVSN3</stp>
        <stp>VolOI</stp>
        <stp>OIType=Contract</stp>
        <stp>OI</stp>
        <stp>D</stp>
        <stp>-2</stp>
        <stp>all</stp>
        <stp/>
        <stp/>
        <stp/>
        <stp>T</stp>
        <tr r="AO2" s="3"/>
      </tp>
      <tp>
        <v>752</v>
        <stp/>
        <stp>StudyData</stp>
        <stp>FVSG4</stp>
        <stp>VolOI</stp>
        <stp>OIType=Contract</stp>
        <stp>OI</stp>
        <stp>D</stp>
        <stp>-2</stp>
        <stp>all</stp>
        <stp/>
        <stp/>
        <stp/>
        <stp>T</stp>
        <tr r="AO9" s="3"/>
      </tp>
      <tp>
        <v>8020</v>
        <stp/>
        <stp>StudyData</stp>
        <stp>FVSF4</stp>
        <stp>VolOI</stp>
        <stp>OIType=Contract</stp>
        <stp>OI</stp>
        <stp>D</stp>
        <stp>-2</stp>
        <stp>all</stp>
        <stp/>
        <stp/>
        <stp/>
        <stp>T</stp>
        <tr r="AO8" s="3"/>
      </tp>
      <tp>
        <v>44697</v>
        <stp/>
        <stp>StudyData</stp>
        <stp>FVSZ3</stp>
        <stp>VolOI</stp>
        <stp>OIType=Contract</stp>
        <stp>OI</stp>
        <stp>D</stp>
        <stp>-2</stp>
        <stp>all</stp>
        <stp/>
        <stp/>
        <stp/>
        <stp>T</stp>
        <tr r="AO7" s="3"/>
      </tp>
      <tp>
        <v>20880</v>
        <stp/>
        <stp>StudyData</stp>
        <stp>FVSX3</stp>
        <stp>VolOI</stp>
        <stp>OIType=Contract</stp>
        <stp>OI</stp>
        <stp>D</stp>
        <stp>-2</stp>
        <stp>all</stp>
        <stp/>
        <stp/>
        <stp/>
        <stp>T</stp>
        <tr r="AO6" s="3"/>
      </tp>
      <tp>
        <v>11227</v>
        <stp/>
        <stp>StudyData</stp>
        <stp>FVSV3</stp>
        <stp>VolOI</stp>
        <stp>OIType=Contract</stp>
        <stp>OI</stp>
        <stp>D</stp>
        <stp>-2</stp>
        <stp>all</stp>
        <stp/>
        <stp/>
        <stp/>
        <stp>T</stp>
        <tr r="AO5" s="3"/>
      </tp>
      <tp>
        <v>18497</v>
        <stp/>
        <stp>StudyData</stp>
        <stp>FVSU3</stp>
        <stp>VolOI</stp>
        <stp>OIType=Contract</stp>
        <stp>OI</stp>
        <stp>D</stp>
        <stp>-2</stp>
        <stp>all</stp>
        <stp/>
        <stp/>
        <stp/>
        <stp>T</stp>
        <tr r="AO4" s="3"/>
      </tp>
      <tp>
        <v>36067</v>
        <stp/>
        <stp>StudyData</stp>
        <stp>FVSQ3</stp>
        <stp>VolOI</stp>
        <stp>OIType=Contract</stp>
        <stp>OI</stp>
        <stp>D</stp>
        <stp>-2</stp>
        <stp>all</stp>
        <stp/>
        <stp/>
        <stp/>
        <stp>T</stp>
        <tr r="AO3" s="3"/>
      </tp>
      <tp>
        <v>18029</v>
        <stp/>
        <stp>StudyData</stp>
        <stp>FVSN3</stp>
        <stp>VolOI</stp>
        <stp>OIType=Contract</stp>
        <stp>OI</stp>
        <stp>D</stp>
        <stp>-1</stp>
        <stp>all</stp>
        <stp/>
        <stp/>
        <stp/>
        <stp>T</stp>
        <tr r="AN2" s="3"/>
      </tp>
      <tp>
        <v>1052</v>
        <stp/>
        <stp>StudyData</stp>
        <stp>FVSG4</stp>
        <stp>VolOI</stp>
        <stp>OIType=Contract</stp>
        <stp>OI</stp>
        <stp>D</stp>
        <stp>-1</stp>
        <stp>all</stp>
        <stp/>
        <stp/>
        <stp/>
        <stp>T</stp>
        <tr r="AN9" s="3"/>
      </tp>
      <tp>
        <v>8064</v>
        <stp/>
        <stp>StudyData</stp>
        <stp>FVSF4</stp>
        <stp>VolOI</stp>
        <stp>OIType=Contract</stp>
        <stp>OI</stp>
        <stp>D</stp>
        <stp>-1</stp>
        <stp>all</stp>
        <stp/>
        <stp/>
        <stp/>
        <stp>T</stp>
        <tr r="AN8" s="3"/>
      </tp>
      <tp>
        <v>45357</v>
        <stp/>
        <stp>StudyData</stp>
        <stp>FVSZ3</stp>
        <stp>VolOI</stp>
        <stp>OIType=Contract</stp>
        <stp>OI</stp>
        <stp>D</stp>
        <stp>-1</stp>
        <stp>all</stp>
        <stp/>
        <stp/>
        <stp/>
        <stp>T</stp>
        <tr r="AN7" s="3"/>
      </tp>
      <tp>
        <v>21006</v>
        <stp/>
        <stp>StudyData</stp>
        <stp>FVSX3</stp>
        <stp>VolOI</stp>
        <stp>OIType=Contract</stp>
        <stp>OI</stp>
        <stp>D</stp>
        <stp>-1</stp>
        <stp>all</stp>
        <stp/>
        <stp/>
        <stp/>
        <stp>T</stp>
        <tr r="AN6" s="3"/>
      </tp>
      <tp>
        <v>11896</v>
        <stp/>
        <stp>StudyData</stp>
        <stp>FVSV3</stp>
        <stp>VolOI</stp>
        <stp>OIType=Contract</stp>
        <stp>OI</stp>
        <stp>D</stp>
        <stp>-1</stp>
        <stp>all</stp>
        <stp/>
        <stp/>
        <stp/>
        <stp>T</stp>
        <tr r="AN5" s="3"/>
      </tp>
      <tp>
        <v>20125</v>
        <stp/>
        <stp>StudyData</stp>
        <stp>FVSU3</stp>
        <stp>VolOI</stp>
        <stp>OIType=Contract</stp>
        <stp>OI</stp>
        <stp>D</stp>
        <stp>-1</stp>
        <stp>all</stp>
        <stp/>
        <stp/>
        <stp/>
        <stp>T</stp>
        <tr r="AN4" s="3"/>
      </tp>
      <tp>
        <v>37431</v>
        <stp/>
        <stp>StudyData</stp>
        <stp>FVSQ3</stp>
        <stp>VolOI</stp>
        <stp>OIType=Contract</stp>
        <stp>OI</stp>
        <stp>D</stp>
        <stp>-1</stp>
        <stp>all</stp>
        <stp/>
        <stp/>
        <stp/>
        <stp>T</stp>
        <tr r="AN3" s="3"/>
      </tp>
      <tp t="s">
        <v/>
        <stp/>
        <stp>ContractData</stp>
        <stp>VXJ4</stp>
        <stp>LastTradeorSettle</stp>
        <stp/>
        <stp>T</stp>
        <tr r="S10" s="2"/>
        <tr r="R10" s="6"/>
      </tp>
      <tp>
        <v>4.24</v>
        <stp/>
        <stp>StudyData</stp>
        <stp>Consolidate(FVS?1-VX?1,5X,FVS?1-VX?1,1,0)</stp>
        <stp>Bar</stp>
        <stp/>
        <stp>Last</stp>
        <stp>D</stp>
        <stp/>
        <stp/>
        <stp/>
        <stp/>
        <stp/>
        <stp>T</stp>
        <tr r="Z38" s="2"/>
      </tp>
      <tp>
        <v>19.239999999999998</v>
        <stp/>
        <stp>StudyData</stp>
        <stp>V2TX</stp>
        <stp>Bar</stp>
        <stp/>
        <stp>Close</stp>
        <stp>D</stp>
        <stp>-1</stp>
        <stp/>
        <stp/>
        <stp/>
        <stp/>
        <stp>T</stp>
        <tr r="V13" s="3"/>
        <tr r="V13" s="3"/>
        <tr r="V1" s="3"/>
        <tr r="V1" s="3"/>
        <tr r="V16" s="3"/>
      </tp>
      <tp>
        <v>192</v>
        <stp/>
        <stp>ContractData</stp>
        <stp>VXX3</stp>
        <stp>Bate</stp>
        <tr r="Q17" s="6"/>
      </tp>
      <tp>
        <v>192</v>
        <stp/>
        <stp>ContractData</stp>
        <stp>VXZ3</stp>
        <stp>Bate</stp>
        <tr r="Q18" s="6"/>
      </tp>
      <tp t="s">
        <v/>
        <stp/>
        <stp>ContractData</stp>
        <stp>SPREAD(FVS?3-VX?3)</stp>
        <stp>VolumeLastAsk</stp>
        <stp/>
        <stp>T</stp>
        <tr r="V8" s="2"/>
      </tp>
      <tp>
        <v>192</v>
        <stp/>
        <stp>ContractData</stp>
        <stp>VXU3</stp>
        <stp>Bate</stp>
        <tr r="Q15" s="6"/>
      </tp>
      <tp t="s">
        <v/>
        <stp/>
        <stp>ContractData</stp>
        <stp>SPREAD(FVS?2-VX?2)</stp>
        <stp>VolumeLastAsk</stp>
        <stp/>
        <stp>T</stp>
        <tr r="U8" s="2"/>
      </tp>
      <tp t="s">
        <v/>
        <stp/>
        <stp>ContractData</stp>
        <stp>SPREAD(FVS?1-VX?1)</stp>
        <stp>VolumeLastAsk</stp>
        <stp/>
        <stp>T</stp>
        <tr r="T8" s="2"/>
      </tp>
      <tp>
        <v>192</v>
        <stp/>
        <stp>ContractData</stp>
        <stp>VXV3</stp>
        <stp>Bate</stp>
        <tr r="Q16" s="6"/>
      </tp>
      <tp>
        <v>19.100000000000001</v>
        <stp/>
        <stp>StudyData</stp>
        <stp>VXZ3</stp>
        <stp>Bar</stp>
        <stp/>
        <stp>Close</stp>
        <stp>180</stp>
        <stp>0</stp>
        <stp/>
        <stp>VIXVSTOXX</stp>
        <stp/>
        <stp/>
        <stp>T</stp>
        <tr r="E6" s="5"/>
        <tr r="E6" s="5"/>
      </tp>
      <tp>
        <v>18.7</v>
        <stp/>
        <stp>StudyData</stp>
        <stp>VXX3</stp>
        <stp>Bar</stp>
        <stp/>
        <stp>Close</stp>
        <stp>180</stp>
        <stp>0</stp>
        <stp/>
        <stp>VIXVSTOXX</stp>
        <stp/>
        <stp/>
        <stp>T</stp>
        <tr r="E5" s="5"/>
        <tr r="E5" s="5"/>
      </tp>
      <tp>
        <v>18.100000000000001</v>
        <stp/>
        <stp>StudyData</stp>
        <stp>VXV3</stp>
        <stp>Bar</stp>
        <stp/>
        <stp>Close</stp>
        <stp>180</stp>
        <stp>0</stp>
        <stp/>
        <stp>VIXVSTOXX</stp>
        <stp/>
        <stp/>
        <stp>T</stp>
        <tr r="E4" s="5"/>
        <tr r="E4" s="5"/>
      </tp>
      <tp>
        <v>17.2</v>
        <stp/>
        <stp>StudyData</stp>
        <stp>VXU3</stp>
        <stp>Bar</stp>
        <stp/>
        <stp>Close</stp>
        <stp>180</stp>
        <stp>0</stp>
        <stp/>
        <stp>VIXVSTOXX</stp>
        <stp/>
        <stp/>
        <stp>T</stp>
        <tr r="E3" s="5"/>
        <tr r="E3" s="5"/>
      </tp>
      <tp>
        <v>15.95</v>
        <stp/>
        <stp>StudyData</stp>
        <stp>VXQ3</stp>
        <stp>Bar</stp>
        <stp/>
        <stp>Close</stp>
        <stp>180</stp>
        <stp>0</stp>
        <stp/>
        <stp>VIXVSTOXX</stp>
        <stp/>
        <stp/>
        <stp>T</stp>
        <tr r="E2" s="5"/>
        <tr r="E2" s="5"/>
      </tp>
      <tp>
        <v>20.58</v>
        <stp/>
        <stp>StudyData</stp>
        <stp>VXH4</stp>
        <stp>Bar</stp>
        <stp/>
        <stp>Close</stp>
        <stp>180</stp>
        <stp>0</stp>
        <stp/>
        <stp>VIXVSTOXX</stp>
        <stp/>
        <stp/>
        <stp>T</stp>
        <tr r="E9" s="5"/>
        <tr r="E9" s="5"/>
      </tp>
      <tp>
        <v>20.3</v>
        <stp/>
        <stp>StudyData</stp>
        <stp>VXG4</stp>
        <stp>Bar</stp>
        <stp/>
        <stp>Close</stp>
        <stp>180</stp>
        <stp>0</stp>
        <stp/>
        <stp>VIXVSTOXX</stp>
        <stp/>
        <stp/>
        <stp>T</stp>
        <tr r="E8" s="5"/>
        <tr r="E8" s="5"/>
      </tp>
      <tp>
        <v>19.850000000000001</v>
        <stp/>
        <stp>StudyData</stp>
        <stp>VXF4</stp>
        <stp>Bar</stp>
        <stp/>
        <stp>Close</stp>
        <stp>180</stp>
        <stp>0</stp>
        <stp/>
        <stp>VIXVSTOXX</stp>
        <stp/>
        <stp/>
        <stp>T</stp>
        <tr r="E7" s="5"/>
        <tr r="E7" s="5"/>
      </tp>
      <tp t="s">
        <v/>
        <stp/>
        <stp>ContractData</stp>
        <stp>SPREAD(FVS?7-VX?7)</stp>
        <stp>VolumeLastAsk</stp>
        <stp/>
        <stp>T</stp>
        <tr r="Z8" s="2"/>
      </tp>
      <tp>
        <v>192</v>
        <stp/>
        <stp>ContractData</stp>
        <stp>VXQ3</stp>
        <stp>Bate</stp>
        <tr r="Q14" s="6"/>
      </tp>
      <tp t="s">
        <v/>
        <stp/>
        <stp>ContractData</stp>
        <stp>SPREAD(FVS?6-VX?6)</stp>
        <stp>VolumeLastAsk</stp>
        <stp/>
        <stp>T</stp>
        <tr r="Y8" s="2"/>
      </tp>
      <tp t="s">
        <v/>
        <stp/>
        <stp>ContractData</stp>
        <stp>SPREAD(FVS?5-VX?5)</stp>
        <stp>VolumeLastAsk</stp>
        <stp/>
        <stp>T</stp>
        <tr r="X8" s="2"/>
      </tp>
      <tp t="s">
        <v/>
        <stp/>
        <stp>ContractData</stp>
        <stp>SPREAD(FVS?4-VX?4)</stp>
        <stp>VolumeLastAsk</stp>
        <stp/>
        <stp>T</stp>
        <tr r="W8" s="2"/>
      </tp>
      <tp>
        <v>3.23</v>
        <stp/>
        <stp>StudyData</stp>
        <stp>Consolidate(FVS?1-VX?1,5X,FVS?1-VX?1,1,0)</stp>
        <stp>Bar</stp>
        <stp/>
        <stp>Low</stp>
        <stp>D</stp>
        <stp>-14</stp>
        <stp/>
        <stp/>
        <stp/>
        <stp/>
        <stp>T</stp>
        <tr r="U16" s="4"/>
      </tp>
      <tp>
        <v>3.1</v>
        <stp/>
        <stp>StudyData</stp>
        <stp>Consolidate(FVS?1-VX?1,5X,FVS?1-VX?1,1,0)</stp>
        <stp>Bar</stp>
        <stp/>
        <stp>Low</stp>
        <stp>D</stp>
        <stp>-24</stp>
        <stp/>
        <stp/>
        <stp/>
        <stp/>
        <stp>T</stp>
        <tr r="U26" s="4"/>
      </tp>
      <tp>
        <v>3.9</v>
        <stp/>
        <stp>StudyData</stp>
        <stp>Consolidate(FVS?1-VX?1,5X,FVS?1-VX?1,1,0)</stp>
        <stp>Bar</stp>
        <stp/>
        <stp>Low</stp>
        <stp>D</stp>
        <stp>-15</stp>
        <stp/>
        <stp/>
        <stp/>
        <stp/>
        <stp>T</stp>
        <tr r="U17" s="4"/>
      </tp>
      <tp>
        <v>3.35</v>
        <stp/>
        <stp>StudyData</stp>
        <stp>Consolidate(FVS?1-VX?1,5X,FVS?1-VX?1,1,0)</stp>
        <stp>Bar</stp>
        <stp/>
        <stp>Low</stp>
        <stp>D</stp>
        <stp>-25</stp>
        <stp/>
        <stp/>
        <stp/>
        <stp/>
        <stp>T</stp>
        <tr r="U27" s="4"/>
      </tp>
      <tp>
        <v>4.17</v>
        <stp/>
        <stp>StudyData</stp>
        <stp>Consolidate(FVS?1-VX?1,5X,FVS?1-VX?1,1,0)</stp>
        <stp>Bar</stp>
        <stp/>
        <stp>Low</stp>
        <stp>D</stp>
        <stp>-16</stp>
        <stp/>
        <stp/>
        <stp/>
        <stp/>
        <stp>T</stp>
        <tr r="U18" s="4"/>
      </tp>
      <tp>
        <v>2.77</v>
        <stp/>
        <stp>StudyData</stp>
        <stp>Consolidate(FVS?1-VX?1,5X,FVS?1-VX?1,1,0)</stp>
        <stp>Bar</stp>
        <stp/>
        <stp>Low</stp>
        <stp>D</stp>
        <stp>-26</stp>
        <stp/>
        <stp/>
        <stp/>
        <stp/>
        <stp>T</stp>
        <tr r="U28" s="4"/>
      </tp>
      <tp>
        <v>3.6</v>
        <stp/>
        <stp>StudyData</stp>
        <stp>Consolidate(FVS?1-VX?1,5X,FVS?1-VX?1,1,0)</stp>
        <stp>Bar</stp>
        <stp/>
        <stp>Low</stp>
        <stp>D</stp>
        <stp>-17</stp>
        <stp/>
        <stp/>
        <stp/>
        <stp/>
        <stp>T</stp>
        <tr r="U19" s="4"/>
      </tp>
      <tp>
        <v>3.3</v>
        <stp/>
        <stp>StudyData</stp>
        <stp>Consolidate(FVS?1-VX?1,5X,FVS?1-VX?1,1,0)</stp>
        <stp>Bar</stp>
        <stp/>
        <stp>Low</stp>
        <stp>D</stp>
        <stp>-27</stp>
        <stp/>
        <stp/>
        <stp/>
        <stp/>
        <stp>T</stp>
        <tr r="U29" s="4"/>
      </tp>
      <tp>
        <v>3.83</v>
        <stp/>
        <stp>StudyData</stp>
        <stp>Consolidate(FVS?1-VX?1,5X,FVS?1-VX?1,1,0)</stp>
        <stp>Bar</stp>
        <stp/>
        <stp>Low</stp>
        <stp>D</stp>
        <stp>-10</stp>
        <stp/>
        <stp/>
        <stp/>
        <stp/>
        <stp>T</stp>
        <tr r="U12" s="4"/>
      </tp>
      <tp>
        <v>2.98</v>
        <stp/>
        <stp>StudyData</stp>
        <stp>Consolidate(FVS?1-VX?1,5X,FVS?1-VX?1,1,0)</stp>
        <stp>Bar</stp>
        <stp/>
        <stp>Low</stp>
        <stp>D</stp>
        <stp>-20</stp>
        <stp/>
        <stp/>
        <stp/>
        <stp/>
        <stp>T</stp>
        <tr r="U22" s="4"/>
      </tp>
      <tp>
        <v>41744</v>
        <stp/>
        <stp>ContractData</stp>
        <stp>VXJ4</stp>
        <stp>ExpirationDate</stp>
        <tr r="O10" s="6"/>
      </tp>
      <tp>
        <v>41716</v>
        <stp/>
        <stp>ContractData</stp>
        <stp>VXH4</stp>
        <stp>ExpirationDate</stp>
        <tr r="O9" s="6"/>
      </tp>
      <tp>
        <v>41660</v>
        <stp/>
        <stp>ContractData</stp>
        <stp>VXF4</stp>
        <stp>ExpirationDate</stp>
        <tr r="O7" s="6"/>
      </tp>
      <tp>
        <v>41688</v>
        <stp/>
        <stp>ContractData</stp>
        <stp>VXG4</stp>
        <stp>ExpirationDate</stp>
        <tr r="O8" s="6"/>
      </tp>
      <tp>
        <v>41625</v>
        <stp/>
        <stp>ContractData</stp>
        <stp>VXZ3</stp>
        <stp>ExpirationDate</stp>
        <tr r="O6" s="6"/>
      </tp>
      <tp>
        <v>41597</v>
        <stp/>
        <stp>ContractData</stp>
        <stp>VXX3</stp>
        <stp>ExpirationDate</stp>
        <tr r="O5" s="6"/>
      </tp>
      <tp>
        <v>41562</v>
        <stp/>
        <stp>ContractData</stp>
        <stp>VXV3</stp>
        <stp>ExpirationDate</stp>
        <tr r="O4" s="6"/>
      </tp>
      <tp>
        <v>41534</v>
        <stp/>
        <stp>ContractData</stp>
        <stp>VXU3</stp>
        <stp>ExpirationDate</stp>
        <tr r="O3" s="6"/>
      </tp>
      <tp>
        <v>41506</v>
        <stp/>
        <stp>ContractData</stp>
        <stp>VXQ3</stp>
        <stp>ExpirationDate</stp>
        <tr r="O2" s="6"/>
      </tp>
      <tp>
        <v>224</v>
        <stp/>
        <stp>ContractData</stp>
        <stp>VXH4</stp>
        <stp>Bate</stp>
        <tr r="Q21" s="6"/>
      </tp>
      <tp>
        <v>41472.680023148147</v>
        <stp/>
        <stp>SystemInfo</stp>
        <stp>Linetime</stp>
        <tr r="X61" s="2"/>
        <tr r="O61" s="2"/>
        <tr r="T61" s="2"/>
        <tr r="J61" s="2"/>
      </tp>
      <tp>
        <v>3.61</v>
        <stp/>
        <stp>StudyData</stp>
        <stp>Consolidate(FVS?1-VX?1,5X,FVS?1-VX?1,1,0)</stp>
        <stp>Bar</stp>
        <stp/>
        <stp>Low</stp>
        <stp>D</stp>
        <stp>-11</stp>
        <stp/>
        <stp/>
        <stp/>
        <stp/>
        <stp>T</stp>
        <tr r="U13" s="4"/>
      </tp>
      <tp>
        <v>2.78</v>
        <stp/>
        <stp>StudyData</stp>
        <stp>Consolidate(FVS?1-VX?1,5X,FVS?1-VX?1,1,0)</stp>
        <stp>Bar</stp>
        <stp/>
        <stp>Low</stp>
        <stp>D</stp>
        <stp>-21</stp>
        <stp/>
        <stp/>
        <stp/>
        <stp/>
        <stp>T</stp>
        <tr r="U23" s="4"/>
      </tp>
      <tp>
        <v>3.43</v>
        <stp/>
        <stp>StudyData</stp>
        <stp>Consolidate(FVS?1-VX?1,5X,FVS?1-VX?1,1,0)</stp>
        <stp>Bar</stp>
        <stp/>
        <stp>Low</stp>
        <stp>D</stp>
        <stp>-12</stp>
        <stp/>
        <stp/>
        <stp/>
        <stp/>
        <stp>T</stp>
        <tr r="U14" s="4"/>
      </tp>
      <tp>
        <v>2.95</v>
        <stp/>
        <stp>StudyData</stp>
        <stp>Consolidate(FVS?1-VX?1,5X,FVS?1-VX?1,1,0)</stp>
        <stp>Bar</stp>
        <stp/>
        <stp>Low</stp>
        <stp>D</stp>
        <stp>-22</stp>
        <stp/>
        <stp/>
        <stp/>
        <stp/>
        <stp>T</stp>
        <tr r="U24" s="4"/>
      </tp>
      <tp>
        <v>-5.0000000000000711E-2</v>
        <stp/>
        <stp>ContractData</stp>
        <stp>F.FVS?8</stp>
        <stp>NetLastQuoteToday</stp>
        <stp/>
        <stp>T</stp>
        <tr r="U9" s="3"/>
      </tp>
      <tp>
        <v>5.0000000000000711E-2</v>
        <stp/>
        <stp>ContractData</stp>
        <stp>F.FVS?3</stp>
        <stp>NetLastQuoteToday</stp>
        <stp/>
        <stp>T</stp>
        <tr r="U4" s="3"/>
      </tp>
      <tp>
        <v>-0.25</v>
        <stp/>
        <stp>ContractData</stp>
        <stp>F.FVS?2</stp>
        <stp>NetLastQuoteToday</stp>
        <stp/>
        <stp>T</stp>
        <tr r="U3" s="3"/>
      </tp>
      <tp>
        <v>0.64000000000000057</v>
        <stp/>
        <stp>ContractData</stp>
        <stp>F.FVS?1</stp>
        <stp>NetLastQuoteToday</stp>
        <stp/>
        <stp>T</stp>
        <tr r="U2" s="3"/>
      </tp>
      <tp>
        <v>-4.9999999999997158E-2</v>
        <stp/>
        <stp>ContractData</stp>
        <stp>F.FVS?7</stp>
        <stp>NetLastQuoteToday</stp>
        <stp/>
        <stp>T</stp>
        <tr r="U8" s="3"/>
      </tp>
      <tp>
        <v>5.0000000000000711E-2</v>
        <stp/>
        <stp>ContractData</stp>
        <stp>F.FVS?6</stp>
        <stp>NetLastQuoteToday</stp>
        <stp/>
        <stp>T</stp>
        <tr r="U7" s="3"/>
      </tp>
      <tp>
        <v>-0.10000000000000142</v>
        <stp/>
        <stp>ContractData</stp>
        <stp>F.FVS?5</stp>
        <stp>NetLastQuoteToday</stp>
        <stp/>
        <stp>T</stp>
        <tr r="U6" s="3"/>
      </tp>
      <tp>
        <v>-5.0000000000000711E-2</v>
        <stp/>
        <stp>ContractData</stp>
        <stp>F.FVS?4</stp>
        <stp>NetLastQuoteToday</stp>
        <stp/>
        <stp>T</stp>
        <tr r="U5" s="3"/>
      </tp>
      <tp>
        <v>0</v>
        <stp/>
        <stp>ContractData</stp>
        <stp>VXJ4</stp>
        <stp>Bate</stp>
        <tr r="Q22" s="6"/>
      </tp>
      <tp>
        <v>2.98</v>
        <stp/>
        <stp>StudyData</stp>
        <stp>Consolidate(FVS?1-VX?1,5X,FVS?1-VX?1,1,0)</stp>
        <stp>Bar</stp>
        <stp/>
        <stp>Low</stp>
        <stp>D</stp>
        <stp>-13</stp>
        <stp/>
        <stp/>
        <stp/>
        <stp/>
        <stp>T</stp>
        <tr r="U15" s="4"/>
      </tp>
      <tp>
        <v>2.91</v>
        <stp/>
        <stp>StudyData</stp>
        <stp>Consolidate(FVS?1-VX?1,5X,FVS?1-VX?1,1,0)</stp>
        <stp>Bar</stp>
        <stp/>
        <stp>Low</stp>
        <stp>D</stp>
        <stp>-23</stp>
        <stp/>
        <stp/>
        <stp/>
        <stp/>
        <stp>T</stp>
        <tr r="U25" s="4"/>
      </tp>
      <tp>
        <v>0</v>
        <stp/>
        <stp>StudyData</stp>
        <stp>0</stp>
        <stp>Vol</stp>
        <stp>VolType=auto,CoCType=Contract</stp>
        <stp>Vol</stp>
        <stp>D</stp>
        <stp>0</stp>
        <stp>ALL</stp>
        <stp/>
        <stp/>
        <stp>TRUE</stp>
        <stp>T</stp>
        <tr r="AG38" s="2"/>
        <tr r="AG36" s="2"/>
        <tr r="AG37" s="2"/>
        <tr r="AG35" s="2"/>
        <tr r="AG34" s="2"/>
        <tr r="AG33" s="2"/>
        <tr r="AG32" s="2"/>
        <tr r="AG30" s="2"/>
        <tr r="AG31" s="2"/>
      </tp>
      <tp>
        <v>20.5</v>
        <stp/>
        <stp>ContractData</stp>
        <stp>VXH4</stp>
        <stp>Settlement</stp>
        <stp/>
        <stp>T</stp>
        <tr r="AJ9" s="6"/>
      </tp>
      <tp t="s">
        <v/>
        <stp/>
        <stp>ContractData</stp>
        <stp>VXJ4</stp>
        <stp>Settlement</stp>
        <stp/>
        <stp>T</stp>
        <tr r="AJ10" s="6"/>
      </tp>
      <tp>
        <v>19.7</v>
        <stp/>
        <stp>ContractData</stp>
        <stp>VXF4</stp>
        <stp>Settlement</stp>
        <stp/>
        <stp>T</stp>
        <tr r="AJ7" s="6"/>
      </tp>
      <tp>
        <v>20.150000000000002</v>
        <stp/>
        <stp>ContractData</stp>
        <stp>VXG4</stp>
        <stp>Settlement</stp>
        <stp/>
        <stp>T</stp>
        <tr r="AJ8" s="6"/>
      </tp>
      <tp>
        <v>192</v>
        <stp/>
        <stp>ContractData</stp>
        <stp>VXG4</stp>
        <stp>Bate</stp>
        <tr r="Q20" s="6"/>
      </tp>
      <tp>
        <v>208</v>
        <stp/>
        <stp>ContractData</stp>
        <stp>VXF4</stp>
        <stp>Bate</stp>
        <tr r="Q19" s="6"/>
      </tp>
      <tp>
        <v>3.5</v>
        <stp/>
        <stp>StudyData</stp>
        <stp>Consolidate(FVS?1-VX?1,5X,FVS?1-VX?1,1,0)</stp>
        <stp>Bar</stp>
        <stp/>
        <stp>Low</stp>
        <stp>D</stp>
        <stp>-18</stp>
        <stp/>
        <stp/>
        <stp/>
        <stp/>
        <stp>T</stp>
        <tr r="U20" s="4"/>
      </tp>
      <tp>
        <v>3.2</v>
        <stp/>
        <stp>StudyData</stp>
        <stp>Consolidate(FVS?1-VX?1,5X,FVS?1-VX?1,1,0)</stp>
        <stp>Bar</stp>
        <stp/>
        <stp>Low</stp>
        <stp>D</stp>
        <stp>-28</stp>
        <stp/>
        <stp/>
        <stp/>
        <stp/>
        <stp>T</stp>
        <tr r="U30" s="4"/>
      </tp>
      <tp>
        <v>2.65</v>
        <stp/>
        <stp>StudyData</stp>
        <stp>Consolidate(FVS?1-VX?1,5X,FVS?1-VX?1,1,0)</stp>
        <stp>Bar</stp>
        <stp/>
        <stp>Low</stp>
        <stp>D</stp>
        <stp>-19</stp>
        <stp/>
        <stp/>
        <stp/>
        <stp/>
        <stp>T</stp>
        <tr r="U21" s="4"/>
      </tp>
      <tp>
        <v>3.16</v>
        <stp/>
        <stp>StudyData</stp>
        <stp>Consolidate(FVS?1-VX?1,5X,FVS?1-VX?1,1,0)</stp>
        <stp>Bar</stp>
        <stp/>
        <stp>Low</stp>
        <stp>D</stp>
        <stp>-29</stp>
        <stp/>
        <stp/>
        <stp/>
        <stp/>
        <stp>T</stp>
        <tr r="U31" s="4"/>
      </tp>
      <tp>
        <v>18.45</v>
        <stp/>
        <stp>ContractData</stp>
        <stp>VXX3</stp>
        <stp>Settlement</stp>
        <stp/>
        <stp>T</stp>
        <tr r="AJ5" s="6"/>
      </tp>
      <tp>
        <v>18.900000000000002</v>
        <stp/>
        <stp>ContractData</stp>
        <stp>VXZ3</stp>
        <stp>Settlement</stp>
        <stp/>
        <stp>T</stp>
        <tr r="AJ6" s="6"/>
      </tp>
      <tp>
        <v>15.6</v>
        <stp/>
        <stp>ContractData</stp>
        <stp>VXQ3</stp>
        <stp>Settlement</stp>
        <stp/>
        <stp>T</stp>
        <tr r="AJ2" s="6"/>
      </tp>
      <tp>
        <v>16.95</v>
        <stp/>
        <stp>ContractData</stp>
        <stp>VXU3</stp>
        <stp>Settlement</stp>
        <stp/>
        <stp>T</stp>
        <tr r="AJ3" s="6"/>
      </tp>
      <tp>
        <v>17.850000000000001</v>
        <stp/>
        <stp>ContractData</stp>
        <stp>VXV3</stp>
        <stp>Settlement</stp>
        <stp/>
        <stp>T</stp>
        <tr r="AJ4" s="6"/>
      </tp>
      <tp t="s">
        <v>VXH4</v>
        <stp/>
        <stp>ContractData</stp>
        <stp>VXH4</stp>
        <stp>Symbol</stp>
        <tr r="R6" s="2"/>
      </tp>
      <tp t="s">
        <v>VXJ4</v>
        <stp/>
        <stp>ContractData</stp>
        <stp>VXJ4</stp>
        <stp>Symbol</stp>
        <tr r="S6" s="2"/>
      </tp>
      <tp t="s">
        <v>VXG4</v>
        <stp/>
        <stp>ContractData</stp>
        <stp>VXG4</stp>
        <stp>Symbol</stp>
        <tr r="Q6" s="2"/>
      </tp>
      <tp t="s">
        <v>VXF4</v>
        <stp/>
        <stp>ContractData</stp>
        <stp>VXF4</stp>
        <stp>Symbol</stp>
        <tr r="P6" s="2"/>
      </tp>
      <tp t="s">
        <v>VXX3</v>
        <stp/>
        <stp>ContractData</stp>
        <stp>VXX3</stp>
        <stp>Symbol</stp>
        <tr r="N6" s="2"/>
      </tp>
      <tp t="s">
        <v>VXZ3</v>
        <stp/>
        <stp>ContractData</stp>
        <stp>VXZ3</stp>
        <stp>Symbol</stp>
        <tr r="O6" s="2"/>
      </tp>
      <tp t="s">
        <v>VXQ3</v>
        <stp/>
        <stp>ContractData</stp>
        <stp>VXQ3</stp>
        <stp>Symbol</stp>
        <tr r="K6" s="2"/>
      </tp>
      <tp t="s">
        <v>VXU3</v>
        <stp/>
        <stp>ContractData</stp>
        <stp>VXU3</stp>
        <stp>Symbol</stp>
        <tr r="L6" s="2"/>
      </tp>
      <tp t="s">
        <v>VXV3</v>
        <stp/>
        <stp>ContractData</stp>
        <stp>VXV3</stp>
        <stp>Symbol</stp>
        <tr r="M6" s="2"/>
      </tp>
      <tp t="s">
        <v>VXJ4</v>
        <stp/>
        <stp>ContractData</stp>
        <stp>VX?9</stp>
        <stp>Symbol</stp>
        <tr r="Q10" s="6"/>
      </tp>
      <tp t="s">
        <v>VXH4</v>
        <stp/>
        <stp>ContractData</stp>
        <stp>VX?8</stp>
        <stp>Symbol</stp>
        <tr r="Q9" s="6"/>
      </tp>
      <tp t="s">
        <v>VXQ3</v>
        <stp/>
        <stp>ContractData</stp>
        <stp>VX?1</stp>
        <stp>Symbol</stp>
        <tr r="Q2" s="6"/>
        <tr r="S35" s="6"/>
      </tp>
      <tp t="s">
        <v>VXV3</v>
        <stp/>
        <stp>ContractData</stp>
        <stp>VX?3</stp>
        <stp>Symbol</stp>
        <tr r="Q4" s="6"/>
      </tp>
      <tp t="s">
        <v>VXU3</v>
        <stp/>
        <stp>ContractData</stp>
        <stp>VX?2</stp>
        <stp>Symbol</stp>
        <tr r="Q3" s="6"/>
        <tr r="S36" s="6"/>
      </tp>
      <tp t="s">
        <v>VXZ3</v>
        <stp/>
        <stp>ContractData</stp>
        <stp>VX?5</stp>
        <stp>Symbol</stp>
        <tr r="Q6" s="6"/>
      </tp>
      <tp t="s">
        <v>VXX3</v>
        <stp/>
        <stp>ContractData</stp>
        <stp>VX?4</stp>
        <stp>Symbol</stp>
        <tr r="Q5" s="6"/>
      </tp>
      <tp t="s">
        <v>VXG4</v>
        <stp/>
        <stp>ContractData</stp>
        <stp>VX?7</stp>
        <stp>Symbol</stp>
        <tr r="Q8" s="6"/>
      </tp>
      <tp t="s">
        <v>VXF4</v>
        <stp/>
        <stp>ContractData</stp>
        <stp>VX?6</stp>
        <stp>Symbol</stp>
        <tr r="Q7" s="6"/>
      </tp>
      <tp>
        <v>187265</v>
        <stp/>
        <stp>StudyData</stp>
        <stp>VXQ3</stp>
        <stp>VolOI</stp>
        <stp/>
        <stp>Vol</stp>
        <stp/>
        <stp>-1</stp>
        <stp>all</stp>
        <stp/>
        <stp/>
        <stp/>
        <stp>T</stp>
        <tr r="V21" s="6"/>
      </tp>
      <tp>
        <v>122585</v>
        <stp/>
        <stp>StudyData</stp>
        <stp>VXQ3</stp>
        <stp>VolOI</stp>
        <stp/>
        <stp>Vol</stp>
        <stp/>
        <stp>-3</stp>
        <stp>all</stp>
        <stp/>
        <stp/>
        <stp/>
        <stp>T</stp>
        <tr r="V23" s="6"/>
      </tp>
      <tp>
        <v>130015</v>
        <stp/>
        <stp>StudyData</stp>
        <stp>VXQ3</stp>
        <stp>VolOI</stp>
        <stp/>
        <stp>Vol</stp>
        <stp/>
        <stp>-2</stp>
        <stp>all</stp>
        <stp/>
        <stp/>
        <stp/>
        <stp>T</stp>
        <tr r="V22" s="6"/>
      </tp>
      <tp>
        <v>147085</v>
        <stp/>
        <stp>StudyData</stp>
        <stp>VXQ3</stp>
        <stp>VolOI</stp>
        <stp/>
        <stp>Vol</stp>
        <stp/>
        <stp>-5</stp>
        <stp>all</stp>
        <stp/>
        <stp/>
        <stp/>
        <stp>T</stp>
        <tr r="V25" s="6"/>
      </tp>
      <tp>
        <v>156703</v>
        <stp/>
        <stp>StudyData</stp>
        <stp>VXQ3</stp>
        <stp>VolOI</stp>
        <stp/>
        <stp>Vol</stp>
        <stp/>
        <stp>-4</stp>
        <stp>all</stp>
        <stp/>
        <stp/>
        <stp/>
        <stp>T</stp>
        <tr r="V24" s="6"/>
      </tp>
      <tp t="s">
        <v>FVSF4</v>
        <stp/>
        <stp>ContractData</stp>
        <stp>FVSF4</stp>
        <stp>Symbol</stp>
        <tr r="I6" s="2"/>
      </tp>
      <tp t="s">
        <v>FVSG4</v>
        <stp/>
        <stp>ContractData</stp>
        <stp>FVSG4</stp>
        <stp>Symbol</stp>
        <tr r="J6" s="2"/>
      </tp>
      <tp t="s">
        <v>FVSN3</v>
        <stp/>
        <stp>ContractData</stp>
        <stp>FVSN3</stp>
        <stp>Symbol</stp>
        <tr r="B6" s="2"/>
      </tp>
      <tp t="s">
        <v>FVSQ3</v>
        <stp/>
        <stp>ContractData</stp>
        <stp>FVSQ3</stp>
        <stp>Symbol</stp>
        <tr r="D6" s="2"/>
      </tp>
      <tp t="s">
        <v>FVSU3</v>
        <stp/>
        <stp>ContractData</stp>
        <stp>FVSU3</stp>
        <stp>Symbol</stp>
        <tr r="E6" s="2"/>
      </tp>
      <tp t="s">
        <v>FVSV3</v>
        <stp/>
        <stp>ContractData</stp>
        <stp>FVSV3</stp>
        <stp>Symbol</stp>
        <tr r="F6" s="2"/>
      </tp>
      <tp t="s">
        <v>FVSX3</v>
        <stp/>
        <stp>ContractData</stp>
        <stp>FVSX3</stp>
        <stp>Symbol</stp>
        <tr r="G6" s="2"/>
      </tp>
      <tp t="s">
        <v>FVSZ3</v>
        <stp/>
        <stp>ContractData</stp>
        <stp>FVSZ3</stp>
        <stp>Symbol</stp>
        <tr r="H6" s="2"/>
      </tp>
      <tp t="s">
        <v>FVSF4</v>
        <stp/>
        <stp>ContractData</stp>
        <stp>FVS?7</stp>
        <stp>Symbol</stp>
        <tr r="Q14" s="3"/>
        <tr r="Q8" s="3"/>
      </tp>
      <tp t="s">
        <v>FVSZ3</v>
        <stp/>
        <stp>ContractData</stp>
        <stp>FVS?6</stp>
        <stp>Symbol</stp>
        <tr r="Q7" s="3"/>
      </tp>
      <tp t="s">
        <v>FVSX3</v>
        <stp/>
        <stp>ContractData</stp>
        <stp>FVS?5</stp>
        <stp>Symbol</stp>
        <tr r="Q6" s="3"/>
      </tp>
      <tp t="s">
        <v>FVSV3</v>
        <stp/>
        <stp>ContractData</stp>
        <stp>FVS?4</stp>
        <stp>Symbol</stp>
        <tr r="Q5" s="3"/>
      </tp>
      <tp t="s">
        <v>FVSU3</v>
        <stp/>
        <stp>ContractData</stp>
        <stp>FVS?3</stp>
        <stp>Symbol</stp>
        <tr r="Q4" s="3"/>
      </tp>
      <tp t="s">
        <v>FVSQ3</v>
        <stp/>
        <stp>ContractData</stp>
        <stp>FVS?2</stp>
        <stp>Symbol</stp>
        <tr r="Q3" s="3"/>
        <tr r="S36" s="3"/>
      </tp>
      <tp t="s">
        <v>FVSN3</v>
        <stp/>
        <stp>ContractData</stp>
        <stp>FVS?1</stp>
        <stp>Symbol</stp>
        <tr r="S35" s="3"/>
        <tr r="Q2" s="3"/>
      </tp>
      <tp t="s">
        <v>FVSG4</v>
        <stp/>
        <stp>ContractData</stp>
        <stp>FVS?8</stp>
        <stp>Symbol</stp>
        <tr r="Q12" s="3"/>
        <tr r="Q14" s="3"/>
        <tr r="Q9" s="3"/>
        <tr r="Q9" s="3"/>
      </tp>
      <tp t="s">
        <v/>
        <stp/>
        <stp>ContractData</stp>
        <stp>SPREAD(FVS?5-VX?5)</stp>
        <stp>Bid</stp>
        <stp/>
        <stp>T</stp>
        <tr r="X10" s="2"/>
      </tp>
      <tp t="s">
        <v/>
        <stp/>
        <stp>ContractData</stp>
        <stp>SPREAD(FVS?6-VX?6)</stp>
        <stp>Ask</stp>
        <stp/>
        <stp>T</stp>
        <tr r="Y9" s="2"/>
      </tp>
      <tp t="s">
        <v/>
        <stp/>
        <stp>ContractData</stp>
        <stp>SPREAD(FVS?4-VX?4)</stp>
        <stp>Bid</stp>
        <stp/>
        <stp>T</stp>
        <tr r="W10" s="2"/>
      </tp>
      <tp t="s">
        <v/>
        <stp/>
        <stp>ContractData</stp>
        <stp>SPREAD(FVS?7-VX?7)</stp>
        <stp>Ask</stp>
        <stp/>
        <stp>T</stp>
        <tr r="Z9" s="2"/>
      </tp>
      <tp t="s">
        <v/>
        <stp/>
        <stp>ContractData</stp>
        <stp>SPREAD(FVS?7-VX?7)</stp>
        <stp>Bid</stp>
        <stp/>
        <stp>T</stp>
        <tr r="Z10" s="2"/>
      </tp>
      <tp t="s">
        <v/>
        <stp/>
        <stp>ContractData</stp>
        <stp>SPREAD(FVS?4-VX?4)</stp>
        <stp>Ask</stp>
        <stp/>
        <stp>T</stp>
        <tr r="W9" s="2"/>
      </tp>
      <tp t="s">
        <v/>
        <stp/>
        <stp>ContractData</stp>
        <stp>SPREAD(FVS?6-VX?6)</stp>
        <stp>Bid</stp>
        <stp/>
        <stp>T</stp>
        <tr r="Y10" s="2"/>
      </tp>
      <tp t="s">
        <v/>
        <stp/>
        <stp>ContractData</stp>
        <stp>SPREAD(FVS?5-VX?5)</stp>
        <stp>Ask</stp>
        <stp/>
        <stp>T</stp>
        <tr r="X9" s="2"/>
      </tp>
      <tp t="s">
        <v/>
        <stp/>
        <stp>ContractData</stp>
        <stp>SPREAD(FVS?1-VX?1)</stp>
        <stp>Bid</stp>
        <stp/>
        <stp>T</stp>
        <tr r="T10" s="2"/>
      </tp>
      <tp t="s">
        <v/>
        <stp/>
        <stp>ContractData</stp>
        <stp>SPREAD(FVS?2-VX?2)</stp>
        <stp>Ask</stp>
        <stp/>
        <stp>T</stp>
        <tr r="U9" s="2"/>
      </tp>
      <tp t="s">
        <v/>
        <stp/>
        <stp>ContractData</stp>
        <stp>SPREAD(FVS?3-VX?3)</stp>
        <stp>Ask</stp>
        <stp/>
        <stp>T</stp>
        <tr r="V9" s="2"/>
      </tp>
      <tp t="s">
        <v/>
        <stp/>
        <stp>ContractData</stp>
        <stp>SPREAD(FVS?3-VX?3)</stp>
        <stp>Bid</stp>
        <stp/>
        <stp>T</stp>
        <tr r="V10" s="2"/>
      </tp>
      <tp t="s">
        <v/>
        <stp/>
        <stp>ContractData</stp>
        <stp>SPREAD(FVS?2-VX?2)</stp>
        <stp>Bid</stp>
        <stp/>
        <stp>T</stp>
        <tr r="U10" s="2"/>
      </tp>
      <tp t="s">
        <v/>
        <stp/>
        <stp>ContractData</stp>
        <stp>SPREAD(FVS?1-VX?1)</stp>
        <stp>Ask</stp>
        <stp/>
        <stp>T</stp>
        <tr r="T9" s="2"/>
      </tp>
      <tp>
        <v>4.24</v>
        <stp/>
        <stp>StudyData</stp>
        <stp>Consolidate(FVS?1-VX?1,5X,FVS?1-VX?1,1,0)</stp>
        <stp>Bar</stp>
        <stp/>
        <stp>Last</stp>
        <stp>D</stp>
        <stp>0</stp>
        <stp/>
        <stp/>
        <stp/>
        <stp/>
        <stp>T</stp>
        <tr r="V2" s="4"/>
      </tp>
      <tp>
        <v>41471</v>
        <stp/>
        <stp>StudyData</stp>
        <stp>Q.FVSVXSpread</stp>
        <stp>Bar</stp>
        <stp/>
        <stp>Time</stp>
        <stp>D</stp>
        <stp>-1</stp>
        <stp>all</stp>
        <stp/>
        <stp/>
        <stp>False</stp>
        <tr r="X3" s="4"/>
      </tp>
      <tp>
        <v>41467</v>
        <stp/>
        <stp>StudyData</stp>
        <stp>Q.FVSVXSpread</stp>
        <stp>Bar</stp>
        <stp/>
        <stp>Time</stp>
        <stp>D</stp>
        <stp>-3</stp>
        <stp>all</stp>
        <stp/>
        <stp/>
        <stp>False</stp>
        <tr r="X5" s="4"/>
      </tp>
      <tp>
        <v>41470</v>
        <stp/>
        <stp>StudyData</stp>
        <stp>Q.FVSVXSpread</stp>
        <stp>Bar</stp>
        <stp/>
        <stp>Time</stp>
        <stp>D</stp>
        <stp>-2</stp>
        <stp>all</stp>
        <stp/>
        <stp/>
        <stp>False</stp>
        <tr r="X4" s="4"/>
      </tp>
      <tp>
        <v>41465</v>
        <stp/>
        <stp>StudyData</stp>
        <stp>Q.FVSVXSpread</stp>
        <stp>Bar</stp>
        <stp/>
        <stp>Time</stp>
        <stp>D</stp>
        <stp>-5</stp>
        <stp>all</stp>
        <stp/>
        <stp/>
        <stp>False</stp>
        <tr r="X7" s="4"/>
      </tp>
      <tp>
        <v>41466</v>
        <stp/>
        <stp>StudyData</stp>
        <stp>Q.FVSVXSpread</stp>
        <stp>Bar</stp>
        <stp/>
        <stp>Time</stp>
        <stp>D</stp>
        <stp>-4</stp>
        <stp>all</stp>
        <stp/>
        <stp/>
        <stp>False</stp>
        <tr r="X6" s="4"/>
      </tp>
      <tp>
        <v>41463</v>
        <stp/>
        <stp>StudyData</stp>
        <stp>Q.FVSVXSpread</stp>
        <stp>Bar</stp>
        <stp/>
        <stp>Time</stp>
        <stp>D</stp>
        <stp>-7</stp>
        <stp>all</stp>
        <stp/>
        <stp/>
        <stp>False</stp>
        <tr r="X9" s="4"/>
      </tp>
      <tp>
        <v>41464</v>
        <stp/>
        <stp>StudyData</stp>
        <stp>Q.FVSVXSpread</stp>
        <stp>Bar</stp>
        <stp/>
        <stp>Time</stp>
        <stp>D</stp>
        <stp>-6</stp>
        <stp>all</stp>
        <stp/>
        <stp/>
        <stp>False</stp>
        <tr r="X8" s="4"/>
      </tp>
      <tp>
        <v>41458</v>
        <stp/>
        <stp>StudyData</stp>
        <stp>Q.FVSVXSpread</stp>
        <stp>Bar</stp>
        <stp/>
        <stp>Time</stp>
        <stp>D</stp>
        <stp>-9</stp>
        <stp>all</stp>
        <stp/>
        <stp/>
        <stp>False</stp>
        <tr r="X11" s="4"/>
      </tp>
      <tp>
        <v>41460</v>
        <stp/>
        <stp>StudyData</stp>
        <stp>Q.FVSVXSpread</stp>
        <stp>Bar</stp>
        <stp/>
        <stp>Time</stp>
        <stp>D</stp>
        <stp>-8</stp>
        <stp>all</stp>
        <stp/>
        <stp/>
        <stp>False</stp>
        <tr r="X10" s="4"/>
      </tp>
      <tp>
        <v>41689</v>
        <stp/>
        <stp>ContractData</stp>
        <stp>FVSG4</stp>
        <stp>ExpirationDate</stp>
        <tr r="O9" s="3"/>
      </tp>
      <tp>
        <v>41661</v>
        <stp/>
        <stp>ContractData</stp>
        <stp>FVSF4</stp>
        <stp>ExpirationDate</stp>
        <tr r="O8" s="3"/>
      </tp>
      <tp>
        <v>41472</v>
        <stp/>
        <stp>ContractData</stp>
        <stp>FVSN3</stp>
        <stp>ExpirationDate</stp>
        <tr r="O2" s="3"/>
      </tp>
      <tp>
        <v>41563</v>
        <stp/>
        <stp>ContractData</stp>
        <stp>FVSV3</stp>
        <stp>ExpirationDate</stp>
        <tr r="O5" s="3"/>
      </tp>
      <tp>
        <v>41535</v>
        <stp/>
        <stp>ContractData</stp>
        <stp>FVSU3</stp>
        <stp>ExpirationDate</stp>
        <tr r="O4" s="3"/>
      </tp>
      <tp>
        <v>41507</v>
        <stp/>
        <stp>ContractData</stp>
        <stp>FVSQ3</stp>
        <stp>ExpirationDate</stp>
        <tr r="O3" s="3"/>
      </tp>
      <tp>
        <v>41626</v>
        <stp/>
        <stp>ContractData</stp>
        <stp>FVSZ3</stp>
        <stp>ExpirationDate</stp>
        <tr r="O7" s="3"/>
      </tp>
      <tp>
        <v>41598</v>
        <stp/>
        <stp>ContractData</stp>
        <stp>FVSX3</stp>
        <stp>ExpirationDate</stp>
        <tr r="O6" s="3"/>
      </tp>
      <tp>
        <v>18.48</v>
        <stp/>
        <stp>StudyData</stp>
        <stp>V2TX</stp>
        <stp>Bar</stp>
        <stp/>
        <stp>Close</stp>
        <stp>D</stp>
        <stp>0</stp>
        <stp/>
        <stp/>
        <stp/>
        <stp/>
        <stp>T</stp>
        <tr r="V17" s="3"/>
        <tr r="V1" s="3"/>
        <tr r="V1" s="3"/>
      </tp>
      <tp t="s">
        <v>768: Current Message -&gt; Invalid expression.</v>
        <stp/>
        <stp>ContractData</stp>
        <stp>0</stp>
        <stp>LongDescription</stp>
        <tr r="AH37" s="2"/>
        <tr r="AH38" s="2"/>
        <tr r="AH36" s="2"/>
        <tr r="AH35" s="2"/>
        <tr r="AH34" s="2"/>
        <tr r="AH33" s="2"/>
        <tr r="AH31" s="2"/>
        <tr r="AH32" s="2"/>
        <tr r="AH30" s="2"/>
      </tp>
      <tp>
        <v>13.76</v>
        <stp/>
        <stp>ContractData</stp>
        <stp>VXC</stp>
        <stp>Low</stp>
        <stp/>
        <stp>T</stp>
        <tr r="N15" s="2"/>
      </tp>
      <tp>
        <v>14.44</v>
        <stp/>
        <stp>ContractData</stp>
        <stp>VXC</stp>
        <stp>High</stp>
        <stp/>
        <stp>T</stp>
        <tr r="M15" s="2"/>
      </tp>
      <tp>
        <v>14.42</v>
        <stp/>
        <stp>ContractData</stp>
        <stp>VXC</stp>
        <stp>Open</stp>
        <stp/>
        <stp>T</stp>
        <tr r="L15" s="2"/>
      </tp>
      <tp t="s">
        <v>JUL</v>
        <stp/>
        <stp>ContractData</stp>
        <stp>FVS?1</stp>
        <stp>ContractMonth</stp>
        <tr r="I2" s="4"/>
      </tp>
      <tp>
        <v>3.15</v>
        <stp/>
        <stp>StudyData</stp>
        <stp>Consolidate(FVS?1-VX?1,5X,FVS?1-VX?1,1,0)</stp>
        <stp>Bar</stp>
        <stp/>
        <stp>Open</stp>
        <stp>D</stp>
        <stp>0</stp>
        <stp/>
        <stp/>
        <stp/>
        <stp/>
        <stp>T</stp>
        <tr r="S2" s="4"/>
      </tp>
      <tp>
        <v>41472</v>
        <stp/>
        <stp>StudyData</stp>
        <stp>Q.FVSVXSpread</stp>
        <stp>Bar</stp>
        <stp/>
        <stp>Time</stp>
        <stp>D</stp>
        <stp>0</stp>
        <stp>all</stp>
        <stp/>
        <stp/>
        <stp>False</stp>
        <tr r="X2" s="4"/>
      </tp>
      <tp>
        <v>3.12</v>
        <stp/>
        <stp>StudyData</stp>
        <stp>Consolidate(FVS?1-VX?1,5X,FVS?1-VX?1,1,0)</stp>
        <stp>Bar</stp>
        <stp/>
        <stp>Low</stp>
        <stp>D</stp>
        <stp/>
        <stp/>
        <stp/>
        <stp/>
        <stp/>
        <stp>T</stp>
        <tr r="Y38" s="2"/>
      </tp>
      <tp>
        <v>4.24</v>
        <stp/>
        <stp>StudyData</stp>
        <stp>Consolidate(FVS?1-VX?1,5X,FVS?1-VX?1,1,0)</stp>
        <stp>Bar</stp>
        <stp/>
        <stp>High</stp>
        <stp>D</stp>
        <stp>0</stp>
        <stp/>
        <stp/>
        <stp/>
        <stp/>
        <stp>T</stp>
        <tr r="T2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99852526795353"/>
          <c:y val="7.7549884577680805E-2"/>
          <c:w val="0.80125510230953567"/>
          <c:h val="0.8348328748063118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Main!$AB$30:$AB$37</c:f>
              <c:strCache>
                <c:ptCount val="8"/>
                <c:pt idx="0">
                  <c:v>Jul 13</c:v>
                </c:pt>
                <c:pt idx="1">
                  <c:v>Aug 13</c:v>
                </c:pt>
                <c:pt idx="2">
                  <c:v>Sep 13</c:v>
                </c:pt>
                <c:pt idx="3">
                  <c:v>Oct 13</c:v>
                </c:pt>
                <c:pt idx="4">
                  <c:v>Nov 13</c:v>
                </c:pt>
                <c:pt idx="5">
                  <c:v>Dec 13</c:v>
                </c:pt>
                <c:pt idx="6">
                  <c:v>Jan 14</c:v>
                </c:pt>
                <c:pt idx="7">
                  <c:v>Feb 14</c:v>
                </c:pt>
              </c:strCache>
            </c:strRef>
          </c:cat>
          <c:val>
            <c:numRef>
              <c:f>Main!$AA$30:$AA$37</c:f>
              <c:numCache>
                <c:formatCode>General</c:formatCode>
                <c:ptCount val="8"/>
                <c:pt idx="0">
                  <c:v>4619</c:v>
                </c:pt>
                <c:pt idx="1">
                  <c:v>4864</c:v>
                </c:pt>
                <c:pt idx="2">
                  <c:v>5843</c:v>
                </c:pt>
                <c:pt idx="3">
                  <c:v>1449</c:v>
                </c:pt>
                <c:pt idx="4">
                  <c:v>656</c:v>
                </c:pt>
                <c:pt idx="5">
                  <c:v>1797</c:v>
                </c:pt>
                <c:pt idx="6">
                  <c:v>12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479392"/>
        <c:axId val="330480568"/>
      </c:barChart>
      <c:catAx>
        <c:axId val="3304793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330480568"/>
        <c:crosses val="autoZero"/>
        <c:auto val="1"/>
        <c:lblAlgn val="ctr"/>
        <c:lblOffset val="100"/>
        <c:noMultiLvlLbl val="0"/>
      </c:catAx>
      <c:valAx>
        <c:axId val="33048056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3047939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2237782212936"/>
          <c:y val="8.9031401195332524E-2"/>
          <c:w val="0.81511681103405775"/>
          <c:h val="0.731486576226164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FVS!$AH$2:$AH$9</c:f>
              <c:strCache>
                <c:ptCount val="8"/>
                <c:pt idx="0">
                  <c:v>Jul 13</c:v>
                </c:pt>
                <c:pt idx="1">
                  <c:v>Aug 13</c:v>
                </c:pt>
                <c:pt idx="2">
                  <c:v>Sep 13</c:v>
                </c:pt>
                <c:pt idx="3">
                  <c:v>Oct 13</c:v>
                </c:pt>
                <c:pt idx="4">
                  <c:v>Nov 13</c:v>
                </c:pt>
                <c:pt idx="5">
                  <c:v>Dec 13</c:v>
                </c:pt>
                <c:pt idx="6">
                  <c:v>Jan 14</c:v>
                </c:pt>
                <c:pt idx="7">
                  <c:v>Feb 14</c:v>
                </c:pt>
              </c:strCache>
            </c:strRef>
          </c:cat>
          <c:val>
            <c:numRef>
              <c:f>FVS!$AP$2:$AP$9</c:f>
              <c:numCache>
                <c:formatCode>General</c:formatCode>
                <c:ptCount val="8"/>
                <c:pt idx="0">
                  <c:v>-3922</c:v>
                </c:pt>
                <c:pt idx="1">
                  <c:v>1364</c:v>
                </c:pt>
                <c:pt idx="2">
                  <c:v>1628</c:v>
                </c:pt>
                <c:pt idx="3">
                  <c:v>669</c:v>
                </c:pt>
                <c:pt idx="4">
                  <c:v>126</c:v>
                </c:pt>
                <c:pt idx="5">
                  <c:v>660</c:v>
                </c:pt>
                <c:pt idx="6">
                  <c:v>44</c:v>
                </c:pt>
                <c:pt idx="7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471224"/>
        <c:axId val="490470832"/>
      </c:barChart>
      <c:catAx>
        <c:axId val="49047122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90470832"/>
        <c:crosses val="autoZero"/>
        <c:auto val="1"/>
        <c:lblAlgn val="ctr"/>
        <c:lblOffset val="100"/>
        <c:noMultiLvlLbl val="0"/>
      </c:catAx>
      <c:valAx>
        <c:axId val="49047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9047122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51078509323142"/>
          <c:y val="4.501147146816438E-2"/>
          <c:w val="0.81000453119255855"/>
          <c:h val="0.8774171759998533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4"/>
            <c:spPr>
              <a:gradFill>
                <a:gsLst>
                  <a:gs pos="0">
                    <a:srgbClr val="FFF2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VX!$AN$2:$AN$10</c:f>
              <c:numCache>
                <c:formatCode>General</c:formatCode>
                <c:ptCount val="9"/>
                <c:pt idx="0">
                  <c:v>161326</c:v>
                </c:pt>
                <c:pt idx="1">
                  <c:v>54448</c:v>
                </c:pt>
                <c:pt idx="2">
                  <c:v>29167</c:v>
                </c:pt>
                <c:pt idx="3">
                  <c:v>29164</c:v>
                </c:pt>
                <c:pt idx="4">
                  <c:v>24999</c:v>
                </c:pt>
                <c:pt idx="5">
                  <c:v>12478</c:v>
                </c:pt>
                <c:pt idx="6">
                  <c:v>3070</c:v>
                </c:pt>
                <c:pt idx="7">
                  <c:v>190</c:v>
                </c:pt>
                <c:pt idx="8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</c:spPr>
          </c:marker>
          <c:val>
            <c:numRef>
              <c:f>VX!$AO$2:$AO$10</c:f>
              <c:numCache>
                <c:formatCode>General</c:formatCode>
                <c:ptCount val="9"/>
                <c:pt idx="0">
                  <c:v>145742</c:v>
                </c:pt>
                <c:pt idx="1">
                  <c:v>50765</c:v>
                </c:pt>
                <c:pt idx="2">
                  <c:v>27887</c:v>
                </c:pt>
                <c:pt idx="3">
                  <c:v>28946</c:v>
                </c:pt>
                <c:pt idx="4">
                  <c:v>25019</c:v>
                </c:pt>
                <c:pt idx="5">
                  <c:v>12547</c:v>
                </c:pt>
                <c:pt idx="6">
                  <c:v>3074</c:v>
                </c:pt>
                <c:pt idx="7">
                  <c:v>185</c:v>
                </c:pt>
                <c:pt idx="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73184"/>
        <c:axId val="329905088"/>
      </c:lineChart>
      <c:catAx>
        <c:axId val="49047318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txPr>
          <a:bodyPr/>
          <a:lstStyle/>
          <a:p>
            <a:pPr>
              <a:defRPr sz="700" baseline="0"/>
            </a:pPr>
            <a:endParaRPr lang="en-US"/>
          </a:p>
        </c:txPr>
        <c:crossAx val="329905088"/>
        <c:crosses val="autoZero"/>
        <c:auto val="1"/>
        <c:lblAlgn val="ctr"/>
        <c:lblOffset val="100"/>
        <c:noMultiLvlLbl val="0"/>
      </c:catAx>
      <c:valAx>
        <c:axId val="32990508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9047318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28760429336578"/>
          <c:y val="7.7486995943688866E-2"/>
          <c:w val="0.80427663615218825"/>
          <c:h val="0.791270818420424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VX!$AH$2:$AH$10</c:f>
              <c:strCache>
                <c:ptCount val="9"/>
                <c:pt idx="0">
                  <c:v>Aug 13</c:v>
                </c:pt>
                <c:pt idx="1">
                  <c:v>Sep 13</c:v>
                </c:pt>
                <c:pt idx="2">
                  <c:v>Oct 13</c:v>
                </c:pt>
                <c:pt idx="3">
                  <c:v>Nov 13</c:v>
                </c:pt>
                <c:pt idx="4">
                  <c:v>Dec 13</c:v>
                </c:pt>
                <c:pt idx="5">
                  <c:v>Jan 14</c:v>
                </c:pt>
                <c:pt idx="6">
                  <c:v>Feb 14</c:v>
                </c:pt>
                <c:pt idx="7">
                  <c:v>Mar 14</c:v>
                </c:pt>
                <c:pt idx="8">
                  <c:v>Apr 14</c:v>
                </c:pt>
              </c:strCache>
            </c:strRef>
          </c:cat>
          <c:val>
            <c:numRef>
              <c:f>VX!$AP$2:$AP$10</c:f>
              <c:numCache>
                <c:formatCode>General</c:formatCode>
                <c:ptCount val="9"/>
                <c:pt idx="0">
                  <c:v>15584</c:v>
                </c:pt>
                <c:pt idx="1">
                  <c:v>3683</c:v>
                </c:pt>
                <c:pt idx="2">
                  <c:v>1280</c:v>
                </c:pt>
                <c:pt idx="3">
                  <c:v>218</c:v>
                </c:pt>
                <c:pt idx="4">
                  <c:v>-20</c:v>
                </c:pt>
                <c:pt idx="5">
                  <c:v>-69</c:v>
                </c:pt>
                <c:pt idx="6">
                  <c:v>-4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902344"/>
        <c:axId val="329903912"/>
      </c:barChart>
      <c:catAx>
        <c:axId val="32990234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329903912"/>
        <c:crosses val="autoZero"/>
        <c:auto val="1"/>
        <c:lblAlgn val="ctr"/>
        <c:lblOffset val="100"/>
        <c:noMultiLvlLbl val="0"/>
      </c:catAx>
      <c:valAx>
        <c:axId val="329903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32990234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12295159996192E-2"/>
          <c:y val="3.9362819009325957E-2"/>
          <c:w val="0.88772134053191543"/>
          <c:h val="0.9031549114871279"/>
        </c:manualLayout>
      </c:layout>
      <c:stockChart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Charts!$X$2:$X$31</c:f>
              <c:numCache>
                <c:formatCode>m/d/yyyy</c:formatCode>
                <c:ptCount val="30"/>
                <c:pt idx="0">
                  <c:v>41472</c:v>
                </c:pt>
                <c:pt idx="1">
                  <c:v>41471</c:v>
                </c:pt>
                <c:pt idx="2">
                  <c:v>41470</c:v>
                </c:pt>
                <c:pt idx="3">
                  <c:v>41467</c:v>
                </c:pt>
                <c:pt idx="4">
                  <c:v>41466</c:v>
                </c:pt>
                <c:pt idx="5">
                  <c:v>41465</c:v>
                </c:pt>
                <c:pt idx="6">
                  <c:v>41464</c:v>
                </c:pt>
                <c:pt idx="7">
                  <c:v>41463</c:v>
                </c:pt>
                <c:pt idx="8">
                  <c:v>41460</c:v>
                </c:pt>
                <c:pt idx="9">
                  <c:v>41458</c:v>
                </c:pt>
                <c:pt idx="10">
                  <c:v>41457</c:v>
                </c:pt>
                <c:pt idx="11">
                  <c:v>41456</c:v>
                </c:pt>
                <c:pt idx="12">
                  <c:v>41453</c:v>
                </c:pt>
                <c:pt idx="13">
                  <c:v>41452</c:v>
                </c:pt>
                <c:pt idx="14">
                  <c:v>41451</c:v>
                </c:pt>
                <c:pt idx="15">
                  <c:v>41450</c:v>
                </c:pt>
                <c:pt idx="16">
                  <c:v>41449</c:v>
                </c:pt>
                <c:pt idx="17">
                  <c:v>41446</c:v>
                </c:pt>
                <c:pt idx="18">
                  <c:v>41445</c:v>
                </c:pt>
                <c:pt idx="19">
                  <c:v>41444</c:v>
                </c:pt>
                <c:pt idx="20">
                  <c:v>41443</c:v>
                </c:pt>
                <c:pt idx="21">
                  <c:v>41442</c:v>
                </c:pt>
                <c:pt idx="22">
                  <c:v>41439</c:v>
                </c:pt>
                <c:pt idx="23">
                  <c:v>41438</c:v>
                </c:pt>
                <c:pt idx="24">
                  <c:v>41437</c:v>
                </c:pt>
                <c:pt idx="25">
                  <c:v>41436</c:v>
                </c:pt>
                <c:pt idx="26">
                  <c:v>41435</c:v>
                </c:pt>
                <c:pt idx="27">
                  <c:v>41432</c:v>
                </c:pt>
                <c:pt idx="28">
                  <c:v>41431</c:v>
                </c:pt>
                <c:pt idx="29">
                  <c:v>41430</c:v>
                </c:pt>
              </c:numCache>
            </c:numRef>
          </c:cat>
          <c:val>
            <c:numRef>
              <c:f>Charts!$S$2:$S$31</c:f>
              <c:numCache>
                <c:formatCode>0.00</c:formatCode>
                <c:ptCount val="30"/>
                <c:pt idx="0">
                  <c:v>3.15</c:v>
                </c:pt>
                <c:pt idx="1">
                  <c:v>3.55</c:v>
                </c:pt>
                <c:pt idx="2">
                  <c:v>3.5</c:v>
                </c:pt>
                <c:pt idx="3">
                  <c:v>3.55</c:v>
                </c:pt>
                <c:pt idx="4">
                  <c:v>3.95</c:v>
                </c:pt>
                <c:pt idx="5">
                  <c:v>4.67</c:v>
                </c:pt>
                <c:pt idx="6">
                  <c:v>4.82</c:v>
                </c:pt>
                <c:pt idx="7">
                  <c:v>4.42</c:v>
                </c:pt>
                <c:pt idx="8">
                  <c:v>5.12</c:v>
                </c:pt>
                <c:pt idx="9">
                  <c:v>4.7300000000000004</c:v>
                </c:pt>
                <c:pt idx="10">
                  <c:v>3.98</c:v>
                </c:pt>
                <c:pt idx="11">
                  <c:v>3.9</c:v>
                </c:pt>
                <c:pt idx="12">
                  <c:v>3.5</c:v>
                </c:pt>
                <c:pt idx="13">
                  <c:v>3.8</c:v>
                </c:pt>
                <c:pt idx="14">
                  <c:v>3.37</c:v>
                </c:pt>
                <c:pt idx="15">
                  <c:v>4.9000000000000004</c:v>
                </c:pt>
                <c:pt idx="16">
                  <c:v>4.83</c:v>
                </c:pt>
                <c:pt idx="17">
                  <c:v>3.67</c:v>
                </c:pt>
                <c:pt idx="18">
                  <c:v>3.63</c:v>
                </c:pt>
                <c:pt idx="19">
                  <c:v>2.95</c:v>
                </c:pt>
                <c:pt idx="20">
                  <c:v>2.98</c:v>
                </c:pt>
                <c:pt idx="21">
                  <c:v>2.8</c:v>
                </c:pt>
                <c:pt idx="22">
                  <c:v>3.82</c:v>
                </c:pt>
                <c:pt idx="23">
                  <c:v>2.91</c:v>
                </c:pt>
                <c:pt idx="24">
                  <c:v>3.68</c:v>
                </c:pt>
                <c:pt idx="25">
                  <c:v>3.85</c:v>
                </c:pt>
                <c:pt idx="26">
                  <c:v>3.57</c:v>
                </c:pt>
                <c:pt idx="27">
                  <c:v>3.86</c:v>
                </c:pt>
                <c:pt idx="28">
                  <c:v>3.3</c:v>
                </c:pt>
                <c:pt idx="29">
                  <c:v>3.19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Charts!$X$2:$X$31</c:f>
              <c:numCache>
                <c:formatCode>m/d/yyyy</c:formatCode>
                <c:ptCount val="30"/>
                <c:pt idx="0">
                  <c:v>41472</c:v>
                </c:pt>
                <c:pt idx="1">
                  <c:v>41471</c:v>
                </c:pt>
                <c:pt idx="2">
                  <c:v>41470</c:v>
                </c:pt>
                <c:pt idx="3">
                  <c:v>41467</c:v>
                </c:pt>
                <c:pt idx="4">
                  <c:v>41466</c:v>
                </c:pt>
                <c:pt idx="5">
                  <c:v>41465</c:v>
                </c:pt>
                <c:pt idx="6">
                  <c:v>41464</c:v>
                </c:pt>
                <c:pt idx="7">
                  <c:v>41463</c:v>
                </c:pt>
                <c:pt idx="8">
                  <c:v>41460</c:v>
                </c:pt>
                <c:pt idx="9">
                  <c:v>41458</c:v>
                </c:pt>
                <c:pt idx="10">
                  <c:v>41457</c:v>
                </c:pt>
                <c:pt idx="11">
                  <c:v>41456</c:v>
                </c:pt>
                <c:pt idx="12">
                  <c:v>41453</c:v>
                </c:pt>
                <c:pt idx="13">
                  <c:v>41452</c:v>
                </c:pt>
                <c:pt idx="14">
                  <c:v>41451</c:v>
                </c:pt>
                <c:pt idx="15">
                  <c:v>41450</c:v>
                </c:pt>
                <c:pt idx="16">
                  <c:v>41449</c:v>
                </c:pt>
                <c:pt idx="17">
                  <c:v>41446</c:v>
                </c:pt>
                <c:pt idx="18">
                  <c:v>41445</c:v>
                </c:pt>
                <c:pt idx="19">
                  <c:v>41444</c:v>
                </c:pt>
                <c:pt idx="20">
                  <c:v>41443</c:v>
                </c:pt>
                <c:pt idx="21">
                  <c:v>41442</c:v>
                </c:pt>
                <c:pt idx="22">
                  <c:v>41439</c:v>
                </c:pt>
                <c:pt idx="23">
                  <c:v>41438</c:v>
                </c:pt>
                <c:pt idx="24">
                  <c:v>41437</c:v>
                </c:pt>
                <c:pt idx="25">
                  <c:v>41436</c:v>
                </c:pt>
                <c:pt idx="26">
                  <c:v>41435</c:v>
                </c:pt>
                <c:pt idx="27">
                  <c:v>41432</c:v>
                </c:pt>
                <c:pt idx="28">
                  <c:v>41431</c:v>
                </c:pt>
                <c:pt idx="29">
                  <c:v>41430</c:v>
                </c:pt>
              </c:numCache>
            </c:numRef>
          </c:cat>
          <c:val>
            <c:numRef>
              <c:f>Charts!$T$2:$T$31</c:f>
              <c:numCache>
                <c:formatCode>0.00</c:formatCode>
                <c:ptCount val="30"/>
                <c:pt idx="0">
                  <c:v>4.24</c:v>
                </c:pt>
                <c:pt idx="1">
                  <c:v>3.64</c:v>
                </c:pt>
                <c:pt idx="2">
                  <c:v>3.63</c:v>
                </c:pt>
                <c:pt idx="3">
                  <c:v>3.83</c:v>
                </c:pt>
                <c:pt idx="4">
                  <c:v>4.2</c:v>
                </c:pt>
                <c:pt idx="5">
                  <c:v>4.74</c:v>
                </c:pt>
                <c:pt idx="6">
                  <c:v>5.01</c:v>
                </c:pt>
                <c:pt idx="7">
                  <c:v>5.2</c:v>
                </c:pt>
                <c:pt idx="8">
                  <c:v>5.2</c:v>
                </c:pt>
                <c:pt idx="9">
                  <c:v>4.97</c:v>
                </c:pt>
                <c:pt idx="10">
                  <c:v>4.16</c:v>
                </c:pt>
                <c:pt idx="11">
                  <c:v>4.05</c:v>
                </c:pt>
                <c:pt idx="12">
                  <c:v>3.91</c:v>
                </c:pt>
                <c:pt idx="13">
                  <c:v>3.8</c:v>
                </c:pt>
                <c:pt idx="14">
                  <c:v>3.5</c:v>
                </c:pt>
                <c:pt idx="15">
                  <c:v>4.92</c:v>
                </c:pt>
                <c:pt idx="16">
                  <c:v>4.91</c:v>
                </c:pt>
                <c:pt idx="17">
                  <c:v>4.55</c:v>
                </c:pt>
                <c:pt idx="18">
                  <c:v>3.95</c:v>
                </c:pt>
                <c:pt idx="19">
                  <c:v>3</c:v>
                </c:pt>
                <c:pt idx="20">
                  <c:v>3.38</c:v>
                </c:pt>
                <c:pt idx="21">
                  <c:v>3.23</c:v>
                </c:pt>
                <c:pt idx="22">
                  <c:v>3.85</c:v>
                </c:pt>
                <c:pt idx="23">
                  <c:v>3.85</c:v>
                </c:pt>
                <c:pt idx="24">
                  <c:v>3.68</c:v>
                </c:pt>
                <c:pt idx="25">
                  <c:v>3.89</c:v>
                </c:pt>
                <c:pt idx="26">
                  <c:v>3.57</c:v>
                </c:pt>
                <c:pt idx="27">
                  <c:v>4.1500000000000004</c:v>
                </c:pt>
                <c:pt idx="28">
                  <c:v>4.0999999999999996</c:v>
                </c:pt>
                <c:pt idx="29">
                  <c:v>3.61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Charts!$X$2:$X$31</c:f>
              <c:numCache>
                <c:formatCode>m/d/yyyy</c:formatCode>
                <c:ptCount val="30"/>
                <c:pt idx="0">
                  <c:v>41472</c:v>
                </c:pt>
                <c:pt idx="1">
                  <c:v>41471</c:v>
                </c:pt>
                <c:pt idx="2">
                  <c:v>41470</c:v>
                </c:pt>
                <c:pt idx="3">
                  <c:v>41467</c:v>
                </c:pt>
                <c:pt idx="4">
                  <c:v>41466</c:v>
                </c:pt>
                <c:pt idx="5">
                  <c:v>41465</c:v>
                </c:pt>
                <c:pt idx="6">
                  <c:v>41464</c:v>
                </c:pt>
                <c:pt idx="7">
                  <c:v>41463</c:v>
                </c:pt>
                <c:pt idx="8">
                  <c:v>41460</c:v>
                </c:pt>
                <c:pt idx="9">
                  <c:v>41458</c:v>
                </c:pt>
                <c:pt idx="10">
                  <c:v>41457</c:v>
                </c:pt>
                <c:pt idx="11">
                  <c:v>41456</c:v>
                </c:pt>
                <c:pt idx="12">
                  <c:v>41453</c:v>
                </c:pt>
                <c:pt idx="13">
                  <c:v>41452</c:v>
                </c:pt>
                <c:pt idx="14">
                  <c:v>41451</c:v>
                </c:pt>
                <c:pt idx="15">
                  <c:v>41450</c:v>
                </c:pt>
                <c:pt idx="16">
                  <c:v>41449</c:v>
                </c:pt>
                <c:pt idx="17">
                  <c:v>41446</c:v>
                </c:pt>
                <c:pt idx="18">
                  <c:v>41445</c:v>
                </c:pt>
                <c:pt idx="19">
                  <c:v>41444</c:v>
                </c:pt>
                <c:pt idx="20">
                  <c:v>41443</c:v>
                </c:pt>
                <c:pt idx="21">
                  <c:v>41442</c:v>
                </c:pt>
                <c:pt idx="22">
                  <c:v>41439</c:v>
                </c:pt>
                <c:pt idx="23">
                  <c:v>41438</c:v>
                </c:pt>
                <c:pt idx="24">
                  <c:v>41437</c:v>
                </c:pt>
                <c:pt idx="25">
                  <c:v>41436</c:v>
                </c:pt>
                <c:pt idx="26">
                  <c:v>41435</c:v>
                </c:pt>
                <c:pt idx="27">
                  <c:v>41432</c:v>
                </c:pt>
                <c:pt idx="28">
                  <c:v>41431</c:v>
                </c:pt>
                <c:pt idx="29">
                  <c:v>41430</c:v>
                </c:pt>
              </c:numCache>
            </c:numRef>
          </c:cat>
          <c:val>
            <c:numRef>
              <c:f>Charts!$U$2:$U$31</c:f>
              <c:numCache>
                <c:formatCode>0.00</c:formatCode>
                <c:ptCount val="30"/>
                <c:pt idx="0">
                  <c:v>3.12</c:v>
                </c:pt>
                <c:pt idx="1">
                  <c:v>3</c:v>
                </c:pt>
                <c:pt idx="2">
                  <c:v>3.45</c:v>
                </c:pt>
                <c:pt idx="3">
                  <c:v>3.53</c:v>
                </c:pt>
                <c:pt idx="4">
                  <c:v>3.85</c:v>
                </c:pt>
                <c:pt idx="5">
                  <c:v>4.4400000000000004</c:v>
                </c:pt>
                <c:pt idx="6">
                  <c:v>4.55</c:v>
                </c:pt>
                <c:pt idx="7">
                  <c:v>4.33</c:v>
                </c:pt>
                <c:pt idx="8">
                  <c:v>3.83</c:v>
                </c:pt>
                <c:pt idx="9">
                  <c:v>4.6500000000000004</c:v>
                </c:pt>
                <c:pt idx="10">
                  <c:v>3.83</c:v>
                </c:pt>
                <c:pt idx="11">
                  <c:v>3.61</c:v>
                </c:pt>
                <c:pt idx="12">
                  <c:v>3.43</c:v>
                </c:pt>
                <c:pt idx="13">
                  <c:v>2.98</c:v>
                </c:pt>
                <c:pt idx="14">
                  <c:v>3.23</c:v>
                </c:pt>
                <c:pt idx="15">
                  <c:v>3.9</c:v>
                </c:pt>
                <c:pt idx="16">
                  <c:v>4.17</c:v>
                </c:pt>
                <c:pt idx="17">
                  <c:v>3.6</c:v>
                </c:pt>
                <c:pt idx="18">
                  <c:v>3.5</c:v>
                </c:pt>
                <c:pt idx="19">
                  <c:v>2.65</c:v>
                </c:pt>
                <c:pt idx="20">
                  <c:v>2.98</c:v>
                </c:pt>
                <c:pt idx="21">
                  <c:v>2.78</c:v>
                </c:pt>
                <c:pt idx="22">
                  <c:v>2.95</c:v>
                </c:pt>
                <c:pt idx="23">
                  <c:v>2.91</c:v>
                </c:pt>
                <c:pt idx="24">
                  <c:v>3.1</c:v>
                </c:pt>
                <c:pt idx="25">
                  <c:v>3.35</c:v>
                </c:pt>
                <c:pt idx="26">
                  <c:v>2.77</c:v>
                </c:pt>
                <c:pt idx="27">
                  <c:v>3.3</c:v>
                </c:pt>
                <c:pt idx="28">
                  <c:v>3.2</c:v>
                </c:pt>
                <c:pt idx="29">
                  <c:v>3.16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Charts!$X$2:$X$31</c:f>
              <c:numCache>
                <c:formatCode>m/d/yyyy</c:formatCode>
                <c:ptCount val="30"/>
                <c:pt idx="0">
                  <c:v>41472</c:v>
                </c:pt>
                <c:pt idx="1">
                  <c:v>41471</c:v>
                </c:pt>
                <c:pt idx="2">
                  <c:v>41470</c:v>
                </c:pt>
                <c:pt idx="3">
                  <c:v>41467</c:v>
                </c:pt>
                <c:pt idx="4">
                  <c:v>41466</c:v>
                </c:pt>
                <c:pt idx="5">
                  <c:v>41465</c:v>
                </c:pt>
                <c:pt idx="6">
                  <c:v>41464</c:v>
                </c:pt>
                <c:pt idx="7">
                  <c:v>41463</c:v>
                </c:pt>
                <c:pt idx="8">
                  <c:v>41460</c:v>
                </c:pt>
                <c:pt idx="9">
                  <c:v>41458</c:v>
                </c:pt>
                <c:pt idx="10">
                  <c:v>41457</c:v>
                </c:pt>
                <c:pt idx="11">
                  <c:v>41456</c:v>
                </c:pt>
                <c:pt idx="12">
                  <c:v>41453</c:v>
                </c:pt>
                <c:pt idx="13">
                  <c:v>41452</c:v>
                </c:pt>
                <c:pt idx="14">
                  <c:v>41451</c:v>
                </c:pt>
                <c:pt idx="15">
                  <c:v>41450</c:v>
                </c:pt>
                <c:pt idx="16">
                  <c:v>41449</c:v>
                </c:pt>
                <c:pt idx="17">
                  <c:v>41446</c:v>
                </c:pt>
                <c:pt idx="18">
                  <c:v>41445</c:v>
                </c:pt>
                <c:pt idx="19">
                  <c:v>41444</c:v>
                </c:pt>
                <c:pt idx="20">
                  <c:v>41443</c:v>
                </c:pt>
                <c:pt idx="21">
                  <c:v>41442</c:v>
                </c:pt>
                <c:pt idx="22">
                  <c:v>41439</c:v>
                </c:pt>
                <c:pt idx="23">
                  <c:v>41438</c:v>
                </c:pt>
                <c:pt idx="24">
                  <c:v>41437</c:v>
                </c:pt>
                <c:pt idx="25">
                  <c:v>41436</c:v>
                </c:pt>
                <c:pt idx="26">
                  <c:v>41435</c:v>
                </c:pt>
                <c:pt idx="27">
                  <c:v>41432</c:v>
                </c:pt>
                <c:pt idx="28">
                  <c:v>41431</c:v>
                </c:pt>
                <c:pt idx="29">
                  <c:v>41430</c:v>
                </c:pt>
              </c:numCache>
            </c:numRef>
          </c:cat>
          <c:val>
            <c:numRef>
              <c:f>Charts!$V$2:$V$31</c:f>
              <c:numCache>
                <c:formatCode>0.00</c:formatCode>
                <c:ptCount val="30"/>
                <c:pt idx="0">
                  <c:v>4.24</c:v>
                </c:pt>
                <c:pt idx="1">
                  <c:v>3</c:v>
                </c:pt>
                <c:pt idx="2">
                  <c:v>3.6</c:v>
                </c:pt>
                <c:pt idx="3">
                  <c:v>3.7</c:v>
                </c:pt>
                <c:pt idx="4">
                  <c:v>3.85</c:v>
                </c:pt>
                <c:pt idx="5">
                  <c:v>4.6500000000000004</c:v>
                </c:pt>
                <c:pt idx="6">
                  <c:v>4.55</c:v>
                </c:pt>
                <c:pt idx="7">
                  <c:v>5.2</c:v>
                </c:pt>
                <c:pt idx="8">
                  <c:v>5.2</c:v>
                </c:pt>
                <c:pt idx="9">
                  <c:v>4.6500000000000004</c:v>
                </c:pt>
                <c:pt idx="10">
                  <c:v>3.9</c:v>
                </c:pt>
                <c:pt idx="11">
                  <c:v>3.8</c:v>
                </c:pt>
                <c:pt idx="12">
                  <c:v>3.7</c:v>
                </c:pt>
                <c:pt idx="13">
                  <c:v>3.35</c:v>
                </c:pt>
                <c:pt idx="14">
                  <c:v>3.5</c:v>
                </c:pt>
                <c:pt idx="15">
                  <c:v>4.1500000000000004</c:v>
                </c:pt>
                <c:pt idx="16">
                  <c:v>4.45</c:v>
                </c:pt>
                <c:pt idx="17">
                  <c:v>4.55</c:v>
                </c:pt>
                <c:pt idx="18">
                  <c:v>3.85</c:v>
                </c:pt>
                <c:pt idx="19">
                  <c:v>2.65</c:v>
                </c:pt>
                <c:pt idx="20">
                  <c:v>3.25</c:v>
                </c:pt>
                <c:pt idx="21">
                  <c:v>3</c:v>
                </c:pt>
                <c:pt idx="22">
                  <c:v>2.95</c:v>
                </c:pt>
                <c:pt idx="23">
                  <c:v>3.85</c:v>
                </c:pt>
                <c:pt idx="24">
                  <c:v>3.1</c:v>
                </c:pt>
                <c:pt idx="25">
                  <c:v>3.35</c:v>
                </c:pt>
                <c:pt idx="26">
                  <c:v>3.05</c:v>
                </c:pt>
                <c:pt idx="27">
                  <c:v>3.4</c:v>
                </c:pt>
                <c:pt idx="28">
                  <c:v>4.0999999999999996</c:v>
                </c:pt>
                <c:pt idx="29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chemeClr val="accent2">
                      <a:lumMod val="95000"/>
                      <a:lumOff val="5000"/>
                    </a:schemeClr>
                  </a:gs>
                  <a:gs pos="100000">
                    <a:schemeClr val="accent2">
                      <a:lumMod val="60000"/>
                    </a:schemeClr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downBars>
        </c:upDownBars>
        <c:axId val="329903128"/>
        <c:axId val="224798112"/>
      </c:stockChart>
      <c:catAx>
        <c:axId val="329903128"/>
        <c:scaling>
          <c:orientation val="maxMin"/>
        </c:scaling>
        <c:delete val="0"/>
        <c:axPos val="b"/>
        <c:majorGridlines>
          <c:spPr>
            <a:ln w="12700" cap="flat" cmpd="sng" algn="ctr">
              <a:solidFill>
                <a:srgbClr val="C00000"/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22479811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224798112"/>
        <c:scaling>
          <c:orientation val="minMax"/>
          <c:max val="7"/>
          <c:min val="1"/>
        </c:scaling>
        <c:delete val="0"/>
        <c:axPos val="r"/>
        <c:majorGridlines>
          <c:spPr>
            <a:ln w="6350" cap="flat" cmpd="sng" algn="ctr">
              <a:solidFill>
                <a:srgbClr val="FF0000"/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Tahom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329903128"/>
        <c:crossesAt val="1"/>
        <c:crossBetween val="between"/>
      </c:valAx>
      <c:spPr>
        <a:noFill/>
        <a:ln>
          <a:solidFill>
            <a:schemeClr val="tx2"/>
          </a:solidFill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32137171506069E-2"/>
          <c:y val="0.16935268633589476"/>
          <c:w val="0.90223501370796899"/>
          <c:h val="0.731486576226164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FVS!$V$1:$V$9</c:f>
              <c:numCache>
                <c:formatCode>0.00</c:formatCode>
                <c:ptCount val="9"/>
                <c:pt idx="0" formatCode="General">
                  <c:v>-0.75999999999999801</c:v>
                </c:pt>
                <c:pt idx="1">
                  <c:v>0.64000000000000057</c:v>
                </c:pt>
                <c:pt idx="2">
                  <c:v>-0.25</c:v>
                </c:pt>
                <c:pt idx="3">
                  <c:v>5.0000000000000711E-2</c:v>
                </c:pt>
                <c:pt idx="4">
                  <c:v>-5.0000000000000711E-2</c:v>
                </c:pt>
                <c:pt idx="5">
                  <c:v>-0.10000000000000142</c:v>
                </c:pt>
                <c:pt idx="6">
                  <c:v>5.0000000000000711E-2</c:v>
                </c:pt>
                <c:pt idx="7">
                  <c:v>-4.9999999999997158E-2</c:v>
                </c:pt>
                <c:pt idx="8">
                  <c:v>-5.0000000000000711E-2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481352"/>
        <c:axId val="489416336"/>
      </c:barChart>
      <c:catAx>
        <c:axId val="3304813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89416336"/>
        <c:crosses val="autoZero"/>
        <c:auto val="1"/>
        <c:lblAlgn val="ctr"/>
        <c:lblOffset val="100"/>
        <c:noMultiLvlLbl val="0"/>
      </c:catAx>
      <c:valAx>
        <c:axId val="48941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33048135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VX!$AH$1:$AH$10</c:f>
              <c:strCache>
                <c:ptCount val="10"/>
                <c:pt idx="0">
                  <c:v>Spot</c:v>
                </c:pt>
                <c:pt idx="1">
                  <c:v>Aug 13</c:v>
                </c:pt>
                <c:pt idx="2">
                  <c:v>Sep 13</c:v>
                </c:pt>
                <c:pt idx="3">
                  <c:v>Oct 13</c:v>
                </c:pt>
                <c:pt idx="4">
                  <c:v>Nov 13</c:v>
                </c:pt>
                <c:pt idx="5">
                  <c:v>Dec 13</c:v>
                </c:pt>
                <c:pt idx="6">
                  <c:v>Jan 14</c:v>
                </c:pt>
                <c:pt idx="7">
                  <c:v>Feb 14</c:v>
                </c:pt>
                <c:pt idx="8">
                  <c:v>Mar 14</c:v>
                </c:pt>
                <c:pt idx="9">
                  <c:v>Apr 14</c:v>
                </c:pt>
              </c:strCache>
            </c:strRef>
          </c:cat>
          <c:val>
            <c:numRef>
              <c:f>VX!$AF$1:$AF$10</c:f>
              <c:numCache>
                <c:formatCode>General</c:formatCode>
                <c:ptCount val="10"/>
                <c:pt idx="0">
                  <c:v>13.780000000000001</c:v>
                </c:pt>
                <c:pt idx="1">
                  <c:v>15.6</c:v>
                </c:pt>
                <c:pt idx="2">
                  <c:v>16.95</c:v>
                </c:pt>
                <c:pt idx="3">
                  <c:v>17.850000000000001</c:v>
                </c:pt>
                <c:pt idx="4">
                  <c:v>18.45</c:v>
                </c:pt>
                <c:pt idx="5">
                  <c:v>18.900000000000002</c:v>
                </c:pt>
                <c:pt idx="6">
                  <c:v>19.7</c:v>
                </c:pt>
                <c:pt idx="7">
                  <c:v>20.150000000000002</c:v>
                </c:pt>
                <c:pt idx="8">
                  <c:v>20.5</c:v>
                </c:pt>
                <c:pt idx="9">
                  <c:v>#N/A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VX!$AH$1:$AH$10</c:f>
              <c:strCache>
                <c:ptCount val="10"/>
                <c:pt idx="0">
                  <c:v>Spot</c:v>
                </c:pt>
                <c:pt idx="1">
                  <c:v>Aug 13</c:v>
                </c:pt>
                <c:pt idx="2">
                  <c:v>Sep 13</c:v>
                </c:pt>
                <c:pt idx="3">
                  <c:v>Oct 13</c:v>
                </c:pt>
                <c:pt idx="4">
                  <c:v>Nov 13</c:v>
                </c:pt>
                <c:pt idx="5">
                  <c:v>Dec 13</c:v>
                </c:pt>
                <c:pt idx="6">
                  <c:v>Jan 14</c:v>
                </c:pt>
                <c:pt idx="7">
                  <c:v>Feb 14</c:v>
                </c:pt>
                <c:pt idx="8">
                  <c:v>Mar 14</c:v>
                </c:pt>
                <c:pt idx="9">
                  <c:v>Apr 14</c:v>
                </c:pt>
              </c:strCache>
            </c:strRef>
          </c:cat>
          <c:val>
            <c:numRef>
              <c:f>VX!$AL$1:$AL$10</c:f>
              <c:numCache>
                <c:formatCode>General</c:formatCode>
                <c:ptCount val="10"/>
                <c:pt idx="0">
                  <c:v>14.42</c:v>
                </c:pt>
                <c:pt idx="1">
                  <c:v>15.6</c:v>
                </c:pt>
                <c:pt idx="2">
                  <c:v>16.95</c:v>
                </c:pt>
                <c:pt idx="3">
                  <c:v>17.850000000000001</c:v>
                </c:pt>
                <c:pt idx="4">
                  <c:v>18.45</c:v>
                </c:pt>
                <c:pt idx="5">
                  <c:v>18.900000000000002</c:v>
                </c:pt>
                <c:pt idx="6">
                  <c:v>19.7</c:v>
                </c:pt>
                <c:pt idx="7">
                  <c:v>20.150000000000002</c:v>
                </c:pt>
                <c:pt idx="8">
                  <c:v>20.5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15944"/>
        <c:axId val="489416728"/>
      </c:lineChart>
      <c:catAx>
        <c:axId val="48941594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aseline="0"/>
            </a:pPr>
            <a:endParaRPr lang="en-US"/>
          </a:p>
        </c:txPr>
        <c:crossAx val="489416728"/>
        <c:crosses val="autoZero"/>
        <c:auto val="1"/>
        <c:lblAlgn val="ctr"/>
        <c:lblOffset val="100"/>
        <c:noMultiLvlLbl val="0"/>
      </c:catAx>
      <c:valAx>
        <c:axId val="489416728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8941594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5945708074144E-2"/>
          <c:y val="5.3724053724053727E-2"/>
          <c:w val="0.89424142125336503"/>
          <c:h val="0.8748717948717948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4"/>
            <c:spPr>
              <a:gradFill>
                <a:gsLst>
                  <a:gs pos="0">
                    <a:srgbClr val="FFF2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FVS!$AH$1:$AH$9</c:f>
              <c:strCache>
                <c:ptCount val="9"/>
                <c:pt idx="0">
                  <c:v>Spot</c:v>
                </c:pt>
                <c:pt idx="1">
                  <c:v>Jul 13</c:v>
                </c:pt>
                <c:pt idx="2">
                  <c:v>Aug 13</c:v>
                </c:pt>
                <c:pt idx="3">
                  <c:v>Sep 13</c:v>
                </c:pt>
                <c:pt idx="4">
                  <c:v>Oct 13</c:v>
                </c:pt>
                <c:pt idx="5">
                  <c:v>Nov 13</c:v>
                </c:pt>
                <c:pt idx="6">
                  <c:v>Dec 13</c:v>
                </c:pt>
                <c:pt idx="7">
                  <c:v>Jan 14</c:v>
                </c:pt>
                <c:pt idx="8">
                  <c:v>Feb 14</c:v>
                </c:pt>
              </c:strCache>
            </c:strRef>
          </c:cat>
          <c:val>
            <c:numRef>
              <c:f>FVS!$AF$1:$AF$9</c:f>
              <c:numCache>
                <c:formatCode>General</c:formatCode>
                <c:ptCount val="9"/>
                <c:pt idx="0">
                  <c:v>18.48</c:v>
                </c:pt>
                <c:pt idx="1">
                  <c:v>19.84</c:v>
                </c:pt>
                <c:pt idx="2">
                  <c:v>20.55</c:v>
                </c:pt>
                <c:pt idx="3">
                  <c:v>21.55</c:v>
                </c:pt>
                <c:pt idx="4">
                  <c:v>22.1</c:v>
                </c:pt>
                <c:pt idx="5">
                  <c:v>22.7</c:v>
                </c:pt>
                <c:pt idx="6">
                  <c:v>22</c:v>
                </c:pt>
                <c:pt idx="7">
                  <c:v>23.900000000000002</c:v>
                </c:pt>
                <c:pt idx="8">
                  <c:v>24.3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</c:spPr>
          </c:marker>
          <c:cat>
            <c:strRef>
              <c:f>FVS!$AH$1:$AH$9</c:f>
              <c:strCache>
                <c:ptCount val="9"/>
                <c:pt idx="0">
                  <c:v>Spot</c:v>
                </c:pt>
                <c:pt idx="1">
                  <c:v>Jul 13</c:v>
                </c:pt>
                <c:pt idx="2">
                  <c:v>Aug 13</c:v>
                </c:pt>
                <c:pt idx="3">
                  <c:v>Sep 13</c:v>
                </c:pt>
                <c:pt idx="4">
                  <c:v>Oct 13</c:v>
                </c:pt>
                <c:pt idx="5">
                  <c:v>Nov 13</c:v>
                </c:pt>
                <c:pt idx="6">
                  <c:v>Dec 13</c:v>
                </c:pt>
                <c:pt idx="7">
                  <c:v>Jan 14</c:v>
                </c:pt>
                <c:pt idx="8">
                  <c:v>Feb 14</c:v>
                </c:pt>
              </c:strCache>
            </c:strRef>
          </c:cat>
          <c:val>
            <c:numRef>
              <c:f>FVS!$AL$1:$AL$9</c:f>
              <c:numCache>
                <c:formatCode>0.00</c:formatCode>
                <c:ptCount val="9"/>
                <c:pt idx="0">
                  <c:v>18.48</c:v>
                </c:pt>
                <c:pt idx="1">
                  <c:v>19.84</c:v>
                </c:pt>
                <c:pt idx="2">
                  <c:v>20.55</c:v>
                </c:pt>
                <c:pt idx="3">
                  <c:v>21.55</c:v>
                </c:pt>
                <c:pt idx="4">
                  <c:v>22.1</c:v>
                </c:pt>
                <c:pt idx="5">
                  <c:v>22.7</c:v>
                </c:pt>
                <c:pt idx="6">
                  <c:v>22</c:v>
                </c:pt>
                <c:pt idx="7">
                  <c:v>23.900000000000002</c:v>
                </c:pt>
                <c:pt idx="8">
                  <c:v>24.3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14768"/>
        <c:axId val="489414376"/>
      </c:lineChart>
      <c:catAx>
        <c:axId val="48941476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89414376"/>
        <c:crosses val="autoZero"/>
        <c:auto val="1"/>
        <c:lblAlgn val="ctr"/>
        <c:lblOffset val="100"/>
        <c:noMultiLvlLbl val="0"/>
      </c:catAx>
      <c:valAx>
        <c:axId val="489414376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89414768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1351150324454"/>
          <c:y val="8.7137484485284744E-2"/>
          <c:w val="0.80214675934237845"/>
          <c:h val="0.8027562533245817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Main!$AE$30:$AE$38</c:f>
              <c:strCache>
                <c:ptCount val="9"/>
                <c:pt idx="0">
                  <c:v>Aug 13</c:v>
                </c:pt>
                <c:pt idx="1">
                  <c:v>Sep 13</c:v>
                </c:pt>
                <c:pt idx="2">
                  <c:v>Oct 13</c:v>
                </c:pt>
                <c:pt idx="3">
                  <c:v>Nov 13</c:v>
                </c:pt>
                <c:pt idx="4">
                  <c:v>Dec 13</c:v>
                </c:pt>
                <c:pt idx="5">
                  <c:v>Jan 14</c:v>
                </c:pt>
                <c:pt idx="6">
                  <c:v>Feb 14</c:v>
                </c:pt>
                <c:pt idx="7">
                  <c:v>Mar 14</c:v>
                </c:pt>
                <c:pt idx="8">
                  <c:v>Apr 14</c:v>
                </c:pt>
              </c:strCache>
            </c:strRef>
          </c:cat>
          <c:val>
            <c:numRef>
              <c:f>Main!$AD$30:$AD$38</c:f>
              <c:numCache>
                <c:formatCode>General</c:formatCode>
                <c:ptCount val="9"/>
                <c:pt idx="0">
                  <c:v>68769</c:v>
                </c:pt>
                <c:pt idx="1">
                  <c:v>34543</c:v>
                </c:pt>
                <c:pt idx="2">
                  <c:v>11319</c:v>
                </c:pt>
                <c:pt idx="3">
                  <c:v>8066</c:v>
                </c:pt>
                <c:pt idx="4">
                  <c:v>7547</c:v>
                </c:pt>
                <c:pt idx="5">
                  <c:v>4070</c:v>
                </c:pt>
                <c:pt idx="6">
                  <c:v>933</c:v>
                </c:pt>
                <c:pt idx="7">
                  <c:v>67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12024"/>
        <c:axId val="489412416"/>
      </c:barChart>
      <c:catAx>
        <c:axId val="48941202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489412416"/>
        <c:crosses val="autoZero"/>
        <c:auto val="1"/>
        <c:lblAlgn val="ctr"/>
        <c:lblOffset val="100"/>
        <c:noMultiLvlLbl val="0"/>
      </c:catAx>
      <c:valAx>
        <c:axId val="48941241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8941202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1877950608056E-2"/>
          <c:y val="0.25307982843607962"/>
          <c:w val="0.89723692067133176"/>
          <c:h val="0.6633262915306317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6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VX!$V$1:$V$10</c:f>
              <c:numCache>
                <c:formatCode>0.00</c:formatCode>
                <c:ptCount val="10"/>
                <c:pt idx="0" formatCode="General">
                  <c:v>-0.63999999999999879</c:v>
                </c:pt>
                <c:pt idx="1">
                  <c:v>-0.59999999999999964</c:v>
                </c:pt>
                <c:pt idx="2">
                  <c:v>-0.5</c:v>
                </c:pt>
                <c:pt idx="3">
                  <c:v>-0.5</c:v>
                </c:pt>
                <c:pt idx="4">
                  <c:v>-0.45000000000000284</c:v>
                </c:pt>
                <c:pt idx="5">
                  <c:v>-0.44999999999999929</c:v>
                </c:pt>
                <c:pt idx="6">
                  <c:v>-0.35000000000000142</c:v>
                </c:pt>
                <c:pt idx="7">
                  <c:v>-0.29999999999999716</c:v>
                </c:pt>
                <c:pt idx="8">
                  <c:v>-0.35000000000000142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796912"/>
        <c:axId val="484796520"/>
      </c:barChart>
      <c:catAx>
        <c:axId val="48479691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84796520"/>
        <c:crosses val="autoZero"/>
        <c:auto val="1"/>
        <c:lblAlgn val="ctr"/>
        <c:lblOffset val="100"/>
        <c:noMultiLvlLbl val="0"/>
      </c:catAx>
      <c:valAx>
        <c:axId val="484796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8479691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72377590732195E-2"/>
          <c:y val="2.2155092626366495E-2"/>
          <c:w val="0.88994026608742871"/>
          <c:h val="0.8937375950945847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Spread!$H$2:$H$8</c:f>
              <c:strCache>
                <c:ptCount val="7"/>
                <c:pt idx="0">
                  <c:v>Jul 13</c:v>
                </c:pt>
                <c:pt idx="1">
                  <c:v>Aug 13</c:v>
                </c:pt>
                <c:pt idx="2">
                  <c:v>Sep 13</c:v>
                </c:pt>
                <c:pt idx="3">
                  <c:v>Oct 13</c:v>
                </c:pt>
                <c:pt idx="4">
                  <c:v>Nov 13</c:v>
                </c:pt>
                <c:pt idx="5">
                  <c:v>Dec 13</c:v>
                </c:pt>
                <c:pt idx="6">
                  <c:v>Jan 14</c:v>
                </c:pt>
              </c:strCache>
            </c:strRef>
          </c:cat>
          <c:val>
            <c:numRef>
              <c:f>Spread!$D$2:$D$8</c:f>
              <c:numCache>
                <c:formatCode>General</c:formatCode>
                <c:ptCount val="7"/>
                <c:pt idx="0">
                  <c:v>#N/A</c:v>
                </c:pt>
                <c:pt idx="1">
                  <c:v>20.65</c:v>
                </c:pt>
                <c:pt idx="2">
                  <c:v>21.55</c:v>
                </c:pt>
                <c:pt idx="3">
                  <c:v>22.1</c:v>
                </c:pt>
                <c:pt idx="4">
                  <c:v>22.8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00B05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Spread!$H$2:$H$8</c:f>
              <c:strCache>
                <c:ptCount val="7"/>
                <c:pt idx="0">
                  <c:v>Jul 13</c:v>
                </c:pt>
                <c:pt idx="1">
                  <c:v>Aug 13</c:v>
                </c:pt>
                <c:pt idx="2">
                  <c:v>Sep 13</c:v>
                </c:pt>
                <c:pt idx="3">
                  <c:v>Oct 13</c:v>
                </c:pt>
                <c:pt idx="4">
                  <c:v>Nov 13</c:v>
                </c:pt>
                <c:pt idx="5">
                  <c:v>Dec 13</c:v>
                </c:pt>
                <c:pt idx="6">
                  <c:v>Jan 14</c:v>
                </c:pt>
              </c:strCache>
            </c:strRef>
          </c:cat>
          <c:val>
            <c:numRef>
              <c:f>Spread!$E$2:$E$8</c:f>
              <c:numCache>
                <c:formatCode>General</c:formatCode>
                <c:ptCount val="7"/>
                <c:pt idx="0">
                  <c:v>15.95</c:v>
                </c:pt>
                <c:pt idx="1">
                  <c:v>17.2</c:v>
                </c:pt>
                <c:pt idx="2">
                  <c:v>18.100000000000001</c:v>
                </c:pt>
                <c:pt idx="3">
                  <c:v>18.7</c:v>
                </c:pt>
                <c:pt idx="4">
                  <c:v>19.100000000000001</c:v>
                </c:pt>
                <c:pt idx="5">
                  <c:v>19.850000000000001</c:v>
                </c:pt>
                <c:pt idx="6">
                  <c:v>20.3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13592"/>
        <c:axId val="484795344"/>
      </c:lineChart>
      <c:catAx>
        <c:axId val="4894135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84795344"/>
        <c:crosses val="autoZero"/>
        <c:auto val="1"/>
        <c:lblAlgn val="ctr"/>
        <c:lblOffset val="100"/>
        <c:noMultiLvlLbl val="0"/>
      </c:catAx>
      <c:valAx>
        <c:axId val="48479534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89413592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9812269229058E-2"/>
          <c:y val="0.23787191804978142"/>
          <c:w val="0.87196031851950706"/>
          <c:h val="0.5987112451773557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Spread!$F$2:$F$8</c:f>
              <c:numCache>
                <c:formatCode>General</c:formatCode>
                <c:ptCount val="7"/>
                <c:pt idx="0">
                  <c:v>#N/A</c:v>
                </c:pt>
                <c:pt idx="1">
                  <c:v>3.4499999999999993</c:v>
                </c:pt>
                <c:pt idx="2">
                  <c:v>3.4499999999999993</c:v>
                </c:pt>
                <c:pt idx="3">
                  <c:v>3.4000000000000021</c:v>
                </c:pt>
                <c:pt idx="4">
                  <c:v>3.6999999999999993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794560"/>
        <c:axId val="484793776"/>
      </c:barChart>
      <c:catAx>
        <c:axId val="48479456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84793776"/>
        <c:crosses val="autoZero"/>
        <c:auto val="1"/>
        <c:lblAlgn val="ctr"/>
        <c:lblOffset val="100"/>
        <c:noMultiLvlLbl val="0"/>
      </c:catAx>
      <c:valAx>
        <c:axId val="48479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847945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2457023957413"/>
          <c:y val="0.14239482200647249"/>
          <c:w val="0.81217615851368097"/>
          <c:h val="0.8126863517060367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4"/>
            <c:spPr>
              <a:gradFill>
                <a:gsLst>
                  <a:gs pos="0">
                    <a:srgbClr val="FFF2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FVS!$AN$2:$AN$9</c:f>
              <c:numCache>
                <c:formatCode>General</c:formatCode>
                <c:ptCount val="8"/>
                <c:pt idx="0">
                  <c:v>18029</c:v>
                </c:pt>
                <c:pt idx="1">
                  <c:v>37431</c:v>
                </c:pt>
                <c:pt idx="2">
                  <c:v>20125</c:v>
                </c:pt>
                <c:pt idx="3">
                  <c:v>11896</c:v>
                </c:pt>
                <c:pt idx="4">
                  <c:v>21006</c:v>
                </c:pt>
                <c:pt idx="5">
                  <c:v>45357</c:v>
                </c:pt>
                <c:pt idx="6">
                  <c:v>8064</c:v>
                </c:pt>
                <c:pt idx="7">
                  <c:v>1052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</c:spPr>
          </c:marker>
          <c:val>
            <c:numRef>
              <c:f>FVS!$AO$2:$AO$9</c:f>
              <c:numCache>
                <c:formatCode>General</c:formatCode>
                <c:ptCount val="8"/>
                <c:pt idx="0">
                  <c:v>21951</c:v>
                </c:pt>
                <c:pt idx="1">
                  <c:v>36067</c:v>
                </c:pt>
                <c:pt idx="2">
                  <c:v>18497</c:v>
                </c:pt>
                <c:pt idx="3">
                  <c:v>11227</c:v>
                </c:pt>
                <c:pt idx="4">
                  <c:v>20880</c:v>
                </c:pt>
                <c:pt idx="5">
                  <c:v>44697</c:v>
                </c:pt>
                <c:pt idx="6">
                  <c:v>8020</c:v>
                </c:pt>
                <c:pt idx="7">
                  <c:v>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73968"/>
        <c:axId val="490471616"/>
      </c:lineChart>
      <c:catAx>
        <c:axId val="49047396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txPr>
          <a:bodyPr/>
          <a:lstStyle/>
          <a:p>
            <a:pPr>
              <a:defRPr sz="700" baseline="0"/>
            </a:pPr>
            <a:endParaRPr lang="en-US"/>
          </a:p>
        </c:txPr>
        <c:crossAx val="490471616"/>
        <c:crosses val="autoZero"/>
        <c:auto val="1"/>
        <c:lblAlgn val="ctr"/>
        <c:lblOffset val="100"/>
        <c:noMultiLvlLbl val="0"/>
      </c:catAx>
      <c:valAx>
        <c:axId val="49047161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90473968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chart" Target="../charts/chart9.xml"/><Relationship Id="rId5" Type="http://schemas.openxmlformats.org/officeDocument/2006/relationships/image" Target="../media/image1.png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4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36</xdr:row>
      <xdr:rowOff>152400</xdr:rowOff>
    </xdr:from>
    <xdr:to>
      <xdr:col>9</xdr:col>
      <xdr:colOff>571500</xdr:colOff>
      <xdr:row>42</xdr:row>
      <xdr:rowOff>104775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77246</xdr:colOff>
      <xdr:row>31</xdr:row>
      <xdr:rowOff>85725</xdr:rowOff>
    </xdr:from>
    <xdr:to>
      <xdr:col>9</xdr:col>
      <xdr:colOff>561975</xdr:colOff>
      <xdr:row>36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114300</xdr:colOff>
      <xdr:row>15</xdr:row>
      <xdr:rowOff>9523</xdr:rowOff>
    </xdr:from>
    <xdr:to>
      <xdr:col>18</xdr:col>
      <xdr:colOff>561975</xdr:colOff>
      <xdr:row>30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3920</xdr:colOff>
      <xdr:row>15</xdr:row>
      <xdr:rowOff>47624</xdr:rowOff>
    </xdr:from>
    <xdr:to>
      <xdr:col>9</xdr:col>
      <xdr:colOff>552449</xdr:colOff>
      <xdr:row>30</xdr:row>
      <xdr:rowOff>152399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556269</xdr:colOff>
      <xdr:row>18</xdr:row>
      <xdr:rowOff>14568</xdr:rowOff>
    </xdr:from>
    <xdr:to>
      <xdr:col>3</xdr:col>
      <xdr:colOff>347100</xdr:colOff>
      <xdr:row>18</xdr:row>
      <xdr:rowOff>146049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2944" y="2700618"/>
          <a:ext cx="533781" cy="131481"/>
        </a:xfrm>
        <a:prstGeom prst="rect">
          <a:avLst/>
        </a:prstGeom>
      </xdr:spPr>
    </xdr:pic>
    <xdr:clientData/>
  </xdr:twoCellAnchor>
  <xdr:twoCellAnchor editAs="oneCell">
    <xdr:from>
      <xdr:col>11</xdr:col>
      <xdr:colOff>42016</xdr:colOff>
      <xdr:row>16</xdr:row>
      <xdr:rowOff>116765</xdr:rowOff>
    </xdr:from>
    <xdr:to>
      <xdr:col>11</xdr:col>
      <xdr:colOff>567280</xdr:colOff>
      <xdr:row>17</xdr:row>
      <xdr:rowOff>86321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76091" y="2069390"/>
          <a:ext cx="525264" cy="131481"/>
        </a:xfrm>
        <a:prstGeom prst="rect">
          <a:avLst/>
        </a:prstGeom>
      </xdr:spPr>
    </xdr:pic>
    <xdr:clientData/>
  </xdr:twoCellAnchor>
  <xdr:twoCellAnchor editAs="oneCell">
    <xdr:from>
      <xdr:col>3</xdr:col>
      <xdr:colOff>578890</xdr:colOff>
      <xdr:row>60</xdr:row>
      <xdr:rowOff>125731</xdr:rowOff>
    </xdr:from>
    <xdr:to>
      <xdr:col>4</xdr:col>
      <xdr:colOff>176030</xdr:colOff>
      <xdr:row>60</xdr:row>
      <xdr:rowOff>205752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88515" y="9507856"/>
          <a:ext cx="340090" cy="80021"/>
        </a:xfrm>
        <a:prstGeom prst="rect">
          <a:avLst/>
        </a:prstGeom>
      </xdr:spPr>
    </xdr:pic>
    <xdr:clientData/>
  </xdr:twoCellAnchor>
  <xdr:twoCellAnchor>
    <xdr:from>
      <xdr:col>10</xdr:col>
      <xdr:colOff>28576</xdr:colOff>
      <xdr:row>36</xdr:row>
      <xdr:rowOff>152400</xdr:rowOff>
    </xdr:from>
    <xdr:to>
      <xdr:col>18</xdr:col>
      <xdr:colOff>542926</xdr:colOff>
      <xdr:row>42</xdr:row>
      <xdr:rowOff>133350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66675</xdr:colOff>
      <xdr:row>31</xdr:row>
      <xdr:rowOff>38101</xdr:rowOff>
    </xdr:from>
    <xdr:to>
      <xdr:col>18</xdr:col>
      <xdr:colOff>552450</xdr:colOff>
      <xdr:row>36</xdr:row>
      <xdr:rowOff>19051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10</xdr:col>
      <xdr:colOff>25214</xdr:colOff>
      <xdr:row>31</xdr:row>
      <xdr:rowOff>26895</xdr:rowOff>
    </xdr:from>
    <xdr:ext cx="5954805" cy="211230"/>
    <xdr:sp macro="" textlink="">
      <xdr:nvSpPr>
        <xdr:cNvPr id="36" name="TextBox 35"/>
        <xdr:cNvSpPr txBox="1"/>
      </xdr:nvSpPr>
      <xdr:spPr>
        <a:xfrm>
          <a:off x="5959289" y="4503645"/>
          <a:ext cx="5954805" cy="211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19</xdr:col>
      <xdr:colOff>76200</xdr:colOff>
      <xdr:row>12</xdr:row>
      <xdr:rowOff>85727</xdr:rowOff>
    </xdr:from>
    <xdr:to>
      <xdr:col>25</xdr:col>
      <xdr:colOff>685800</xdr:colOff>
      <xdr:row>30</xdr:row>
      <xdr:rowOff>152400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66675</xdr:colOff>
      <xdr:row>31</xdr:row>
      <xdr:rowOff>104776</xdr:rowOff>
    </xdr:from>
    <xdr:to>
      <xdr:col>25</xdr:col>
      <xdr:colOff>771525</xdr:colOff>
      <xdr:row>35</xdr:row>
      <xdr:rowOff>114300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</xdr:col>
      <xdr:colOff>9525</xdr:colOff>
      <xdr:row>31</xdr:row>
      <xdr:rowOff>19049</xdr:rowOff>
    </xdr:from>
    <xdr:ext cx="5857875" cy="180976"/>
    <xdr:sp macro="" textlink="">
      <xdr:nvSpPr>
        <xdr:cNvPr id="49" name="TextBox 48"/>
        <xdr:cNvSpPr txBox="1"/>
      </xdr:nvSpPr>
      <xdr:spPr>
        <a:xfrm>
          <a:off x="76200" y="4495799"/>
          <a:ext cx="5857875" cy="180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19</xdr:col>
      <xdr:colOff>785</xdr:colOff>
      <xdr:row>30</xdr:row>
      <xdr:rowOff>140298</xdr:rowOff>
    </xdr:from>
    <xdr:ext cx="5723740" cy="193077"/>
    <xdr:sp macro="" textlink="">
      <xdr:nvSpPr>
        <xdr:cNvPr id="50" name="TextBox 49"/>
        <xdr:cNvSpPr txBox="1"/>
      </xdr:nvSpPr>
      <xdr:spPr>
        <a:xfrm>
          <a:off x="11935610" y="4445598"/>
          <a:ext cx="5723740" cy="193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Spread</a:t>
          </a:r>
        </a:p>
      </xdr:txBody>
    </xdr:sp>
    <xdr:clientData/>
  </xdr:oneCellAnchor>
  <xdr:twoCellAnchor>
    <xdr:from>
      <xdr:col>1</xdr:col>
      <xdr:colOff>152401</xdr:colOff>
      <xdr:row>42</xdr:row>
      <xdr:rowOff>114300</xdr:rowOff>
    </xdr:from>
    <xdr:to>
      <xdr:col>9</xdr:col>
      <xdr:colOff>638175</xdr:colOff>
      <xdr:row>51</xdr:row>
      <xdr:rowOff>38100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10571</xdr:colOff>
      <xdr:row>52</xdr:row>
      <xdr:rowOff>66676</xdr:rowOff>
    </xdr:from>
    <xdr:to>
      <xdr:col>9</xdr:col>
      <xdr:colOff>495300</xdr:colOff>
      <xdr:row>59</xdr:row>
      <xdr:rowOff>76202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57151</xdr:colOff>
      <xdr:row>51</xdr:row>
      <xdr:rowOff>66675</xdr:rowOff>
    </xdr:from>
    <xdr:ext cx="5867400" cy="219075"/>
    <xdr:sp macro="" textlink="">
      <xdr:nvSpPr>
        <xdr:cNvPr id="20" name="TextBox 19"/>
        <xdr:cNvSpPr txBox="1"/>
      </xdr:nvSpPr>
      <xdr:spPr>
        <a:xfrm>
          <a:off x="57151" y="8020050"/>
          <a:ext cx="58674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OI Net Change</a:t>
          </a:r>
        </a:p>
      </xdr:txBody>
    </xdr:sp>
    <xdr:clientData/>
  </xdr:oneCellAnchor>
  <xdr:oneCellAnchor>
    <xdr:from>
      <xdr:col>1</xdr:col>
      <xdr:colOff>19050</xdr:colOff>
      <xdr:row>42</xdr:row>
      <xdr:rowOff>85725</xdr:rowOff>
    </xdr:from>
    <xdr:ext cx="5848351" cy="228600"/>
    <xdr:sp macro="" textlink="">
      <xdr:nvSpPr>
        <xdr:cNvPr id="21" name="TextBox 20"/>
        <xdr:cNvSpPr txBox="1"/>
      </xdr:nvSpPr>
      <xdr:spPr>
        <a:xfrm>
          <a:off x="85725" y="6438900"/>
          <a:ext cx="5848351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Open</a:t>
          </a:r>
          <a:r>
            <a:rPr lang="en-US" sz="800" b="1" baseline="0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 Interest</a:t>
          </a:r>
          <a:endParaRPr lang="en-US" sz="800" b="1">
            <a:solidFill>
              <a:schemeClr val="bg1"/>
            </a:solidFill>
            <a:latin typeface="Tahoma" pitchFamily="34" charset="0"/>
            <a:cs typeface="Tahoma" pitchFamily="34" charset="0"/>
          </a:endParaRPr>
        </a:p>
      </xdr:txBody>
    </xdr:sp>
    <xdr:clientData/>
  </xdr:oneCellAnchor>
  <xdr:oneCellAnchor>
    <xdr:from>
      <xdr:col>0</xdr:col>
      <xdr:colOff>47625</xdr:colOff>
      <xdr:row>35</xdr:row>
      <xdr:rowOff>133350</xdr:rowOff>
    </xdr:from>
    <xdr:ext cx="5886450" cy="209550"/>
    <xdr:sp macro="" textlink="">
      <xdr:nvSpPr>
        <xdr:cNvPr id="25" name="TextBox 24"/>
        <xdr:cNvSpPr txBox="1"/>
      </xdr:nvSpPr>
      <xdr:spPr>
        <a:xfrm>
          <a:off x="47625" y="5238750"/>
          <a:ext cx="5886450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9</xdr:col>
      <xdr:colOff>666749</xdr:colOff>
      <xdr:row>35</xdr:row>
      <xdr:rowOff>152401</xdr:rowOff>
    </xdr:from>
    <xdr:ext cx="5953126" cy="209550"/>
    <xdr:sp macro="" textlink="">
      <xdr:nvSpPr>
        <xdr:cNvPr id="26" name="TextBox 25"/>
        <xdr:cNvSpPr txBox="1"/>
      </xdr:nvSpPr>
      <xdr:spPr>
        <a:xfrm>
          <a:off x="5934074" y="5257801"/>
          <a:ext cx="5953126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xdr:txBody>
    </xdr:sp>
    <xdr:clientData/>
  </xdr:oneCellAnchor>
  <xdr:oneCellAnchor>
    <xdr:from>
      <xdr:col>9</xdr:col>
      <xdr:colOff>657225</xdr:colOff>
      <xdr:row>42</xdr:row>
      <xdr:rowOff>95249</xdr:rowOff>
    </xdr:from>
    <xdr:ext cx="5981700" cy="219075"/>
    <xdr:sp macro="" textlink="">
      <xdr:nvSpPr>
        <xdr:cNvPr id="27" name="TextBox 26"/>
        <xdr:cNvSpPr txBox="1"/>
      </xdr:nvSpPr>
      <xdr:spPr>
        <a:xfrm>
          <a:off x="5924550" y="6448424"/>
          <a:ext cx="59817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Open Interest</a:t>
          </a:r>
        </a:p>
      </xdr:txBody>
    </xdr:sp>
    <xdr:clientData/>
  </xdr:oneCellAnchor>
  <xdr:twoCellAnchor>
    <xdr:from>
      <xdr:col>10</xdr:col>
      <xdr:colOff>66675</xdr:colOff>
      <xdr:row>43</xdr:row>
      <xdr:rowOff>95249</xdr:rowOff>
    </xdr:from>
    <xdr:to>
      <xdr:col>18</xdr:col>
      <xdr:colOff>581025</xdr:colOff>
      <xdr:row>51</xdr:row>
      <xdr:rowOff>95250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66675</xdr:colOff>
      <xdr:row>52</xdr:row>
      <xdr:rowOff>114300</xdr:rowOff>
    </xdr:from>
    <xdr:to>
      <xdr:col>18</xdr:col>
      <xdr:colOff>590550</xdr:colOff>
      <xdr:row>59</xdr:row>
      <xdr:rowOff>57150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10</xdr:col>
      <xdr:colOff>0</xdr:colOff>
      <xdr:row>51</xdr:row>
      <xdr:rowOff>47625</xdr:rowOff>
    </xdr:from>
    <xdr:ext cx="5943600" cy="219075"/>
    <xdr:sp macro="" textlink="">
      <xdr:nvSpPr>
        <xdr:cNvPr id="37" name="TextBox 36"/>
        <xdr:cNvSpPr txBox="1"/>
      </xdr:nvSpPr>
      <xdr:spPr>
        <a:xfrm>
          <a:off x="5934075" y="8001000"/>
          <a:ext cx="59436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OI Net Change</a:t>
          </a:r>
        </a:p>
      </xdr:txBody>
    </xdr:sp>
    <xdr:clientData/>
  </xdr:oneCellAnchor>
  <xdr:twoCellAnchor>
    <xdr:from>
      <xdr:col>19</xdr:col>
      <xdr:colOff>38100</xdr:colOff>
      <xdr:row>38</xdr:row>
      <xdr:rowOff>85725</xdr:rowOff>
    </xdr:from>
    <xdr:to>
      <xdr:col>25</xdr:col>
      <xdr:colOff>771525</xdr:colOff>
      <xdr:row>59</xdr:row>
      <xdr:rowOff>76200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0.05666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0" y="0"/>
          <a:ext cx="5695950" cy="1905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800" b="1">
            <a:solidFill>
              <a:schemeClr val="bg1"/>
            </a:solidFill>
            <a:latin typeface="Tahoma" pitchFamily="34" charset="0"/>
            <a:cs typeface="Tahoma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0.99844</cdr:x>
      <cdr:y>0.18033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0" y="0"/>
          <a:ext cx="5839227" cy="1820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800" b="1">
            <a:solidFill>
              <a:schemeClr val="bg1"/>
            </a:solidFill>
            <a:latin typeface="Tahoma" pitchFamily="34" charset="0"/>
            <a:cs typeface="Tahoma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0.11287</cdr:x>
      <cdr:y>0.06675</cdr:y>
    </cdr:from>
    <cdr:to>
      <cdr:x>0.20807</cdr:x>
      <cdr:y>0.11365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23550" y="173572"/>
          <a:ext cx="525937" cy="1219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K64"/>
  <sheetViews>
    <sheetView showGridLines="0" showRowColHeaders="0" tabSelected="1" topLeftCell="A3" zoomScaleNormal="100" workbookViewId="0">
      <selection activeCell="J61" sqref="J61:K61"/>
    </sheetView>
  </sheetViews>
  <sheetFormatPr defaultColWidth="9" defaultRowHeight="12.75" x14ac:dyDescent="0.2"/>
  <cols>
    <col min="1" max="1" width="0.875" style="1" customWidth="1"/>
    <col min="2" max="2" width="9.75" style="1" customWidth="1"/>
    <col min="3" max="3" width="9.75" style="1" hidden="1" customWidth="1"/>
    <col min="4" max="9" width="9.75" style="1" customWidth="1"/>
    <col min="10" max="19" width="8.75" style="1" customWidth="1"/>
    <col min="20" max="25" width="10.75" style="1" customWidth="1"/>
    <col min="26" max="27" width="10.75" style="21" customWidth="1"/>
    <col min="28" max="37" width="9" style="21"/>
    <col min="38" max="16384" width="9" style="1"/>
  </cols>
  <sheetData>
    <row r="1" spans="2:29" ht="9" hidden="1" customHeight="1" x14ac:dyDescent="0.2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  <c r="Z1" s="40"/>
    </row>
    <row r="2" spans="2:29" ht="9" hidden="1" customHeight="1" thickBot="1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Z2" s="40"/>
    </row>
    <row r="3" spans="2:29" ht="10.9" customHeight="1" thickBot="1" x14ac:dyDescent="0.25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39"/>
      <c r="P3" s="39"/>
      <c r="Q3" s="39"/>
      <c r="R3" s="39"/>
      <c r="S3" s="40"/>
      <c r="T3" s="148"/>
      <c r="U3" s="148"/>
      <c r="V3" s="148"/>
      <c r="W3" s="39"/>
      <c r="X3" s="39"/>
      <c r="Y3" s="39"/>
      <c r="Z3" s="40"/>
    </row>
    <row r="4" spans="2:29" ht="16.149999999999999" customHeight="1" x14ac:dyDescent="0.2">
      <c r="B4" s="171" t="s">
        <v>18</v>
      </c>
      <c r="C4" s="24"/>
      <c r="D4" s="149" t="str">
        <f>RTD("cqg.rtd", ,"ContractData",B6, "LongDescription")</f>
        <v>Mini VSTOXX, Jul 13</v>
      </c>
      <c r="E4" s="149"/>
      <c r="F4" s="149"/>
      <c r="G4" s="149"/>
      <c r="H4" s="149"/>
      <c r="I4" s="149"/>
      <c r="J4" s="150"/>
      <c r="K4" s="173" t="s">
        <v>19</v>
      </c>
      <c r="L4" s="149" t="str">
        <f>RTD("cqg.rtd", ,"ContractData",K6, "LongDescription")</f>
        <v>CBOE Volatility Index (VIX) Futures, Aug 13</v>
      </c>
      <c r="M4" s="149"/>
      <c r="N4" s="149"/>
      <c r="O4" s="149"/>
      <c r="P4" s="149"/>
      <c r="Q4" s="149"/>
      <c r="R4" s="149"/>
      <c r="S4" s="150"/>
      <c r="T4" s="155" t="s">
        <v>20</v>
      </c>
      <c r="U4" s="156"/>
      <c r="V4" s="156"/>
      <c r="W4" s="156"/>
      <c r="X4" s="156"/>
      <c r="Y4" s="156"/>
      <c r="Z4" s="157"/>
    </row>
    <row r="5" spans="2:29" ht="10.15" customHeight="1" thickBot="1" x14ac:dyDescent="0.25">
      <c r="B5" s="172"/>
      <c r="C5" s="25"/>
      <c r="D5" s="151"/>
      <c r="E5" s="151"/>
      <c r="F5" s="151"/>
      <c r="G5" s="151"/>
      <c r="H5" s="151"/>
      <c r="I5" s="151"/>
      <c r="J5" s="152"/>
      <c r="K5" s="174"/>
      <c r="L5" s="151"/>
      <c r="M5" s="151"/>
      <c r="N5" s="151"/>
      <c r="O5" s="151"/>
      <c r="P5" s="151"/>
      <c r="Q5" s="151"/>
      <c r="R5" s="151"/>
      <c r="S5" s="152"/>
      <c r="T5" s="158"/>
      <c r="U5" s="159"/>
      <c r="V5" s="159"/>
      <c r="W5" s="159"/>
      <c r="X5" s="159"/>
      <c r="Y5" s="159"/>
      <c r="Z5" s="160"/>
    </row>
    <row r="6" spans="2:29" ht="31.15" hidden="1" customHeight="1" x14ac:dyDescent="0.2">
      <c r="B6" s="42" t="str">
        <f>RTD("cqg.rtd", ,"ContractData",FVS!Q2, "Symbol")</f>
        <v>FVSN3</v>
      </c>
      <c r="C6" s="43"/>
      <c r="D6" s="43" t="str">
        <f>RTD("cqg.rtd", ,"ContractData",FVS!Q3, "Symbol")</f>
        <v>FVSQ3</v>
      </c>
      <c r="E6" s="43" t="str">
        <f>RTD("cqg.rtd", ,"ContractData",FVS!Q4, "Symbol")</f>
        <v>FVSU3</v>
      </c>
      <c r="F6" s="43" t="str">
        <f>RTD("cqg.rtd", ,"ContractData",FVS!Q5, "Symbol")</f>
        <v>FVSV3</v>
      </c>
      <c r="G6" s="43" t="str">
        <f>RTD("cqg.rtd", ,"ContractData",FVS!Q6, "Symbol")</f>
        <v>FVSX3</v>
      </c>
      <c r="H6" s="43" t="str">
        <f>RTD("cqg.rtd", ,"ContractData",FVS!Q7, "Symbol")</f>
        <v>FVSZ3</v>
      </c>
      <c r="I6" s="43" t="str">
        <f>RTD("cqg.rtd", ,"ContractData",FVS!Q8, "Symbol")</f>
        <v>FVSF4</v>
      </c>
      <c r="J6" s="44" t="str">
        <f>RTD("cqg.rtd", ,"ContractData",FVS!Q9, "Symbol")</f>
        <v>FVSG4</v>
      </c>
      <c r="K6" s="64" t="str">
        <f>RTD("cqg.rtd", ,"ContractData",VX!Q2, "Symbol")</f>
        <v>VXQ3</v>
      </c>
      <c r="L6" s="43" t="str">
        <f>RTD("cqg.rtd", ,"ContractData",VX!Q3, "Symbol")</f>
        <v>VXU3</v>
      </c>
      <c r="M6" s="43" t="str">
        <f>RTD("cqg.rtd", ,"ContractData",VX!Q4, "Symbol")</f>
        <v>VXV3</v>
      </c>
      <c r="N6" s="43" t="str">
        <f>RTD("cqg.rtd", ,"ContractData",VX!Q5, "Symbol")</f>
        <v>VXX3</v>
      </c>
      <c r="O6" s="43" t="str">
        <f>RTD("cqg.rtd", ,"ContractData",VX!Q6, "Symbol")</f>
        <v>VXZ3</v>
      </c>
      <c r="P6" s="43" t="str">
        <f>RTD("cqg.rtd", ,"ContractData",VX!Q7, "Symbol")</f>
        <v>VXF4</v>
      </c>
      <c r="Q6" s="43" t="str">
        <f>RTD("cqg.rtd", ,"ContractData",VX!Q8, "Symbol")</f>
        <v>VXG4</v>
      </c>
      <c r="R6" s="43" t="str">
        <f>RTD("cqg.rtd", ,"ContractData",VX!Q9, "Symbol")</f>
        <v>VXH4</v>
      </c>
      <c r="S6" s="44" t="str">
        <f>RTD("cqg.rtd", ,"ContractData",VX!Q10, "Symbol")</f>
        <v>VXJ4</v>
      </c>
      <c r="T6" s="12"/>
      <c r="U6" s="12"/>
      <c r="V6" s="12"/>
      <c r="W6" s="12"/>
      <c r="X6" s="12"/>
      <c r="Y6" s="12"/>
    </row>
    <row r="7" spans="2:29" ht="13.15" customHeight="1" thickBot="1" x14ac:dyDescent="0.25">
      <c r="B7" s="26" t="str">
        <f>RIGHT(RTD("cqg.rtd", ,"ContractData",B6, "LongDescription"),6)</f>
        <v>Jul 13</v>
      </c>
      <c r="C7" s="27"/>
      <c r="D7" s="27" t="str">
        <f>RIGHT(RTD("cqg.rtd", ,"ContractData",D6, "LongDescription"),6)</f>
        <v>Aug 13</v>
      </c>
      <c r="E7" s="27" t="str">
        <f>RIGHT(RTD("cqg.rtd", ,"ContractData",E6, "LongDescription"),6)</f>
        <v>Sep 13</v>
      </c>
      <c r="F7" s="27" t="str">
        <f>RIGHT(RTD("cqg.rtd", ,"ContractData",F6, "LongDescription"),6)</f>
        <v>Oct 13</v>
      </c>
      <c r="G7" s="27" t="str">
        <f>RIGHT(RTD("cqg.rtd", ,"ContractData",G6, "LongDescription"),6)</f>
        <v>Nov 13</v>
      </c>
      <c r="H7" s="27" t="str">
        <f>RIGHT(RTD("cqg.rtd", ,"ContractData",H6, "LongDescription"),6)</f>
        <v>Dec 13</v>
      </c>
      <c r="I7" s="27" t="str">
        <f>RIGHT(RTD("cqg.rtd", ,"ContractData",I6, "LongDescription"),6)</f>
        <v>Jan 14</v>
      </c>
      <c r="J7" s="27" t="str">
        <f>IF(ISERROR(RTD("cqg.rtd",,"ContractData",J6,"LongDescription")),"",RIGHT(RTD("cqg.rtd",,"ContractData",J6,"LongDescription"),6))</f>
        <v>Feb 14</v>
      </c>
      <c r="K7" s="65" t="str">
        <f>RIGHT(RTD("cqg.rtd", ,"ContractData",K6, "LongDescription"),6)</f>
        <v>Aug 13</v>
      </c>
      <c r="L7" s="27" t="str">
        <f>RIGHT(RTD("cqg.rtd", ,"ContractData",L6, "LongDescription"),6)</f>
        <v>Sep 13</v>
      </c>
      <c r="M7" s="27" t="str">
        <f>RIGHT(RTD("cqg.rtd", ,"ContractData",M6, "LongDescription"),6)</f>
        <v>Oct 13</v>
      </c>
      <c r="N7" s="27" t="str">
        <f>RIGHT(RTD("cqg.rtd", ,"ContractData",N6, "LongDescription"),6)</f>
        <v>Nov 13</v>
      </c>
      <c r="O7" s="27" t="str">
        <f>RIGHT(RTD("cqg.rtd", ,"ContractData",O6, "LongDescription"),6)</f>
        <v>Dec 13</v>
      </c>
      <c r="P7" s="27" t="str">
        <f>RIGHT(RTD("cqg.rtd", ,"ContractData",P6, "LongDescription"),6)</f>
        <v>Jan 14</v>
      </c>
      <c r="Q7" s="27" t="str">
        <f>RIGHT(RTD("cqg.rtd", ,"ContractData",Q6, "LongDescription"),6)</f>
        <v>Feb 14</v>
      </c>
      <c r="R7" s="27" t="str">
        <f>RIGHT(RTD("cqg.rtd", ,"ContractData",R6, "LongDescription"),6)</f>
        <v>Mar 14</v>
      </c>
      <c r="S7" s="28" t="str">
        <f>RIGHT(RTD("cqg.rtd", ,"ContractData",S6, "LongDescription"),6)</f>
        <v>Apr 14</v>
      </c>
      <c r="T7" s="47" t="str">
        <f>B7</f>
        <v>Jul 13</v>
      </c>
      <c r="U7" s="47" t="str">
        <f t="shared" ref="U7:Z7" si="0">D7</f>
        <v>Aug 13</v>
      </c>
      <c r="V7" s="47" t="str">
        <f t="shared" si="0"/>
        <v>Sep 13</v>
      </c>
      <c r="W7" s="47" t="str">
        <f t="shared" si="0"/>
        <v>Oct 13</v>
      </c>
      <c r="X7" s="47" t="str">
        <f t="shared" si="0"/>
        <v>Nov 13</v>
      </c>
      <c r="Y7" s="47" t="str">
        <f t="shared" si="0"/>
        <v>Dec 13</v>
      </c>
      <c r="Z7" s="47" t="str">
        <f t="shared" si="0"/>
        <v>Jan 14</v>
      </c>
      <c r="AB7" s="22">
        <v>0</v>
      </c>
      <c r="AC7" s="22" t="s">
        <v>13</v>
      </c>
    </row>
    <row r="8" spans="2:29" ht="13.9" customHeight="1" x14ac:dyDescent="0.2">
      <c r="B8" s="29" t="str">
        <f>TEXT(RTD("cqg.rtd",,"ContractData",B6,FVS!$T$1,,"T"),"#.00")&amp;" "&amp;"A"</f>
        <v xml:space="preserve"> A</v>
      </c>
      <c r="C8" s="30"/>
      <c r="D8" s="30" t="str">
        <f>TEXT(RTD("cqg.rtd",,"ContractData",D6,FVS!$T$1,,"T"),"#.00")&amp;" "&amp;"A"</f>
        <v xml:space="preserve"> A</v>
      </c>
      <c r="E8" s="30" t="str">
        <f>TEXT(RTD("cqg.rtd",,"ContractData",E6,FVS!$T$1,,"T"),"#.00")&amp;" "&amp;"A"</f>
        <v xml:space="preserve"> A</v>
      </c>
      <c r="F8" s="30" t="str">
        <f>TEXT(RTD("cqg.rtd",,"ContractData",F6,FVS!$T$1,,"T"),"#.00")&amp;" "&amp;"A"</f>
        <v xml:space="preserve"> A</v>
      </c>
      <c r="G8" s="30" t="str">
        <f>TEXT(RTD("cqg.rtd",,"ContractData",G6,FVS!$T$1,,"T"),"#.00")&amp;" "&amp;"A"</f>
        <v xml:space="preserve"> A</v>
      </c>
      <c r="H8" s="30" t="str">
        <f>TEXT(RTD("cqg.rtd",,"ContractData",H6,FVS!$T$1,,"T"),"#.00")&amp;" "&amp;"A"</f>
        <v xml:space="preserve"> A</v>
      </c>
      <c r="I8" s="30" t="str">
        <f>TEXT(RTD("cqg.rtd",,"ContractData",I6,FVS!$T$1,,"T"),"#.00")&amp;" "&amp;"A"</f>
        <v xml:space="preserve"> A</v>
      </c>
      <c r="J8" s="30" t="str">
        <f>IF(ISERROR(RTD("cqg.rtd",,"ContractData",J6,FVS!$T$1,,"T")),"",TEXT(RTD("cqg.rtd",,"ContractData",J6,FVS!$T$1,,"T"),"#.00")&amp;" "&amp;"A")</f>
        <v xml:space="preserve"> A</v>
      </c>
      <c r="K8" s="66" t="str">
        <f>TEXT(RTD("cqg.rtd",,"ContractData",K6,FVS!$T$1,,"T"),"#.00")&amp;" "&amp;"A"</f>
        <v>15.60 A</v>
      </c>
      <c r="L8" s="30" t="str">
        <f>TEXT(RTD("cqg.rtd",,"ContractData",L6,FVS!$T$1,,"T"),"#.00")&amp;" "&amp;"A"</f>
        <v>16.95 A</v>
      </c>
      <c r="M8" s="30" t="str">
        <f>TEXT(RTD("cqg.rtd",,"ContractData",M6,FVS!$T$1,,"T"),"#.00")&amp;" "&amp;"A"</f>
        <v>17.85 A</v>
      </c>
      <c r="N8" s="30" t="str">
        <f>TEXT(RTD("cqg.rtd",,"ContractData",N6,FVS!$T$1,,"T"),"#.00")&amp;" "&amp;"A"</f>
        <v>18.45 A</v>
      </c>
      <c r="O8" s="30" t="str">
        <f>TEXT(RTD("cqg.rtd",,"ContractData",O6,FVS!$T$1,,"T"),"#.00")&amp;" "&amp;"A"</f>
        <v>18.90 A</v>
      </c>
      <c r="P8" s="30" t="str">
        <f>TEXT(RTD("cqg.rtd",,"ContractData",P6,FVS!$T$1,,"T"),"#.00")&amp;" "&amp;"A"</f>
        <v>19.70 A</v>
      </c>
      <c r="Q8" s="30" t="str">
        <f>TEXT(RTD("cqg.rtd",,"ContractData",Q6,FVS!$T$1,,"T"),"#.00")&amp;" "&amp;"A"</f>
        <v>20.15 A</v>
      </c>
      <c r="R8" s="30" t="str">
        <f>TEXT(RTD("cqg.rtd",,"ContractData",R6,FVS!$T$1,,"T"),"#.00")&amp;" "&amp;"A"</f>
        <v>20.55 A</v>
      </c>
      <c r="S8" s="45" t="str">
        <f>TEXT(RTD("cqg.rtd",,"ContractData",S6,FVS!$T$1,,"T"),"#.00")&amp;" "&amp;"A"</f>
        <v xml:space="preserve"> A</v>
      </c>
      <c r="T8" s="48" t="str">
        <f>RTD("cqg.rtd", ,"ContractData", "SPREAD(FVS?1-VX?1)", "VolumeLastAsk",,"T")</f>
        <v/>
      </c>
      <c r="U8" s="49" t="str">
        <f>RTD("cqg.rtd", ,"ContractData", "SPREAD(FVS?2-VX?2)", "VolumeLastAsk",,"T")</f>
        <v/>
      </c>
      <c r="V8" s="49" t="str">
        <f>RTD("cqg.rtd", ,"ContractData", "SPREAD(FVS?3-VX?3)", "VolumeLastAsk",,"T")</f>
        <v/>
      </c>
      <c r="W8" s="49" t="str">
        <f>RTD("cqg.rtd", ,"ContractData", "SPREAD(FVS?4-VX?4)", "VolumeLastAsk",,"T")</f>
        <v/>
      </c>
      <c r="X8" s="49" t="str">
        <f>RTD("cqg.rtd", ,"ContractData", "SPREAD(FVS?5-VX?5)", "VolumeLastAsk",,"T")</f>
        <v/>
      </c>
      <c r="Y8" s="49" t="str">
        <f>RTD("cqg.rtd", ,"ContractData", "SPREAD(FVS?6-VX?6)", "VolumeLastAsk",,"T")</f>
        <v/>
      </c>
      <c r="Z8" s="50" t="str">
        <f>RTD("cqg.rtd", ,"ContractData", "SPREAD(FVS?7-VX?7)", "VolumeLastAsk",,"T")</f>
        <v/>
      </c>
      <c r="AB8" s="22">
        <v>1</v>
      </c>
      <c r="AC8" s="22" t="s">
        <v>14</v>
      </c>
    </row>
    <row r="9" spans="2:29" ht="13.9" customHeight="1" x14ac:dyDescent="0.2">
      <c r="B9" s="29" t="str">
        <f>TEXT(RTD("cqg.rtd",,"ContractData",B6,FVS!$S$1,,"T"),"#.00")&amp;" "&amp;"B"</f>
        <v xml:space="preserve"> B</v>
      </c>
      <c r="C9" s="30"/>
      <c r="D9" s="30" t="str">
        <f>TEXT(RTD("cqg.rtd",,"ContractData",D6,FVS!$S$1,,"T"),"#.00")&amp;" "&amp;"B"</f>
        <v xml:space="preserve"> B</v>
      </c>
      <c r="E9" s="30" t="str">
        <f>TEXT(RTD("cqg.rtd",,"ContractData",E6,FVS!$S$1,,"T"),"#.00")&amp;" "&amp;"B"</f>
        <v xml:space="preserve"> B</v>
      </c>
      <c r="F9" s="30" t="str">
        <f>TEXT(RTD("cqg.rtd",,"ContractData",F6,FVS!$S$1,,"T"),"#.00")&amp;" "&amp;"B"</f>
        <v xml:space="preserve"> B</v>
      </c>
      <c r="G9" s="30" t="str">
        <f>TEXT(RTD("cqg.rtd",,"ContractData",G6,FVS!$S$1,,"T"),"#.00")&amp;" "&amp;"B"</f>
        <v xml:space="preserve"> B</v>
      </c>
      <c r="H9" s="30" t="str">
        <f>TEXT(RTD("cqg.rtd",,"ContractData",H6,FVS!$S$1,,"T"),"#.00")&amp;" "&amp;"B"</f>
        <v xml:space="preserve"> B</v>
      </c>
      <c r="I9" s="30" t="str">
        <f>TEXT(RTD("cqg.rtd",,"ContractData",I6,FVS!$S$1,,"T"),"#.00")&amp;" "&amp;"B"</f>
        <v xml:space="preserve"> B</v>
      </c>
      <c r="J9" s="30" t="str">
        <f>IF(ISERROR(RTD("cqg.rtd",,"ContractData",J6,FVS!$S$1,,"T")),"",TEXT(RTD("cqg.rtd",,"ContractData",J6,FVS!$S$1,,"T"),"#.00")&amp;" "&amp;"B")</f>
        <v xml:space="preserve"> B</v>
      </c>
      <c r="K9" s="66" t="str">
        <f>TEXT(RTD("cqg.rtd",,"ContractData",K6,FVS!$S$1,,"T"),"#.00")&amp;" "&amp;"B"</f>
        <v>15.55 B</v>
      </c>
      <c r="L9" s="30" t="str">
        <f>TEXT(RTD("cqg.rtd",,"ContractData",L6,FVS!$S$1,,"T"),"#.00")&amp;" "&amp;"B"</f>
        <v>16.90 B</v>
      </c>
      <c r="M9" s="30" t="str">
        <f>TEXT(RTD("cqg.rtd",,"ContractData",M6,FVS!$S$1,,"T"),"#.00")&amp;" "&amp;"B"</f>
        <v>17.80 B</v>
      </c>
      <c r="N9" s="30" t="str">
        <f>TEXT(RTD("cqg.rtd",,"ContractData",N6,FVS!$S$1,,"T"),"#.00")&amp;" "&amp;"B"</f>
        <v>18.40 B</v>
      </c>
      <c r="O9" s="30" t="str">
        <f>TEXT(RTD("cqg.rtd",,"ContractData",O6,FVS!$S$1,,"T"),"#.00")&amp;" "&amp;"B"</f>
        <v>18.85 B</v>
      </c>
      <c r="P9" s="30" t="str">
        <f>TEXT(RTD("cqg.rtd",,"ContractData",P6,FVS!$S$1,,"T"),"#.00")&amp;" "&amp;"B"</f>
        <v>19.65 B</v>
      </c>
      <c r="Q9" s="30" t="str">
        <f>TEXT(RTD("cqg.rtd",,"ContractData",Q6,FVS!$S$1,,"T"),"#.00")&amp;" "&amp;"B"</f>
        <v>20.10 B</v>
      </c>
      <c r="R9" s="30" t="str">
        <f>TEXT(RTD("cqg.rtd",,"ContractData",R6,FVS!$S$1,,"T"),"#.00")&amp;" "&amp;"B"</f>
        <v>20.45 B</v>
      </c>
      <c r="S9" s="45" t="str">
        <f>TEXT(RTD("cqg.rtd",,"ContractData",S6,FVS!$S$1,,"T"),"#.00")&amp;" "&amp;"B"</f>
        <v xml:space="preserve"> B</v>
      </c>
      <c r="T9" s="51" t="str">
        <f>TEXT(RTD("cqg.rtd", ,"ContractData", "SPREAD(FVS?1-VX?1)", "Ask",,"T"),"#.00")&amp;" A"</f>
        <v xml:space="preserve"> A</v>
      </c>
      <c r="U9" s="52" t="str">
        <f>TEXT(RTD("cqg.rtd", ,"ContractData", "SPREAD(FVS?2-VX?2)", "Ask",,"T"),"#.00")&amp;" A"</f>
        <v xml:space="preserve"> A</v>
      </c>
      <c r="V9" s="52" t="str">
        <f>TEXT(RTD("cqg.rtd", ,"ContractData", "SPREAD(FVS?3-VX?3)", "Ask",,"T"),"#.00")&amp;" A"</f>
        <v xml:space="preserve"> A</v>
      </c>
      <c r="W9" s="52" t="str">
        <f>TEXT(RTD("cqg.rtd", ,"ContractData", "SPREAD(FVS?4-VX?4)", "Ask",,"T"),"#.00")&amp;" A"</f>
        <v xml:space="preserve"> A</v>
      </c>
      <c r="X9" s="52" t="str">
        <f>TEXT(RTD("cqg.rtd", ,"ContractData", "SPREAD(FVS?5-VX?5)", "Ask",,"T"),"#.00")&amp;" A"</f>
        <v xml:space="preserve"> A</v>
      </c>
      <c r="Y9" s="52" t="str">
        <f>TEXT(RTD("cqg.rtd", ,"ContractData", "SPREAD(FVS?6-VX?6)", "Ask",,"T"),"#.00")&amp;" A"</f>
        <v xml:space="preserve"> A</v>
      </c>
      <c r="Z9" s="53" t="str">
        <f>TEXT(RTD("cqg.rtd", ,"ContractData", "SPREAD(FVS?7-VX?7)", "Ask",,"T"),"#.00")&amp;" A"</f>
        <v xml:space="preserve"> A</v>
      </c>
      <c r="AB9" s="22">
        <v>2</v>
      </c>
      <c r="AC9" s="22" t="s">
        <v>15</v>
      </c>
    </row>
    <row r="10" spans="2:29" ht="13.9" customHeight="1" thickBot="1" x14ac:dyDescent="0.25">
      <c r="B10" s="31" t="str">
        <f>TEXT(RTD("cqg.rtd", ,"ContractData",B6,FVS!$R$1,,"T"),"#.00")&amp;" "&amp;"L"</f>
        <v>19.84 L</v>
      </c>
      <c r="C10" s="32"/>
      <c r="D10" s="32" t="str">
        <f>TEXT(RTD("cqg.rtd", ,"ContractData",D6,FVS!$R$1,,"T"),"#.00")&amp;" "&amp;"L"</f>
        <v>20.55 L</v>
      </c>
      <c r="E10" s="32" t="str">
        <f>TEXT(RTD("cqg.rtd", ,"ContractData",E6,FVS!$R$1,,"T"),"#.00")&amp;" "&amp;"L"</f>
        <v>21.55 L</v>
      </c>
      <c r="F10" s="32" t="str">
        <f>TEXT(RTD("cqg.rtd", ,"ContractData",F6,FVS!$R$1,,"T"),"#.00")&amp;" "&amp;"L"</f>
        <v>22.10 L</v>
      </c>
      <c r="G10" s="32" t="str">
        <f>TEXT(RTD("cqg.rtd", ,"ContractData",G6,FVS!$R$1,,"T"),"#.00")&amp;" "&amp;"L"</f>
        <v>22.70 L</v>
      </c>
      <c r="H10" s="32" t="str">
        <f>TEXT(RTD("cqg.rtd", ,"ContractData",H6,FVS!$R$1,,"T"),"#.00")&amp;" "&amp;"L"</f>
        <v>22.00 L</v>
      </c>
      <c r="I10" s="32" t="str">
        <f>TEXT(RTD("cqg.rtd", ,"ContractData",I6,FVS!$R$1,,"T"),"#.00")&amp;" "&amp;"L"</f>
        <v>23.90 L</v>
      </c>
      <c r="J10" s="32" t="str">
        <f>IF(ISERROR(RTD("cqg.rtd", ,"ContractData",J6,FVS!$R$1,,"T")),"",TEXT(RTD("cqg.rtd", ,"ContractData",J6,FVS!$R$1,,"T"),"#.00")&amp;" "&amp;"L")</f>
        <v>24.30 L</v>
      </c>
      <c r="K10" s="67" t="str">
        <f>TEXT(RTD("cqg.rtd", ,"ContractData",K6,FVS!$R$1,,"T"),"#.00")&amp;" "&amp;"L"</f>
        <v>15.60 L</v>
      </c>
      <c r="L10" s="32" t="str">
        <f>TEXT(RTD("cqg.rtd", ,"ContractData",L6,FVS!$R$1,,"T"),"#.00")&amp;" "&amp;"L"</f>
        <v>16.95 L</v>
      </c>
      <c r="M10" s="32" t="str">
        <f>TEXT(RTD("cqg.rtd", ,"ContractData",M6,FVS!$R$1,,"T"),"#.00")&amp;" "&amp;"L"</f>
        <v>17.85 L</v>
      </c>
      <c r="N10" s="32" t="str">
        <f>TEXT(RTD("cqg.rtd", ,"ContractData",N6,FVS!$R$1,,"T"),"#.00")&amp;" "&amp;"L"</f>
        <v>18.45 L</v>
      </c>
      <c r="O10" s="32" t="str">
        <f>TEXT(RTD("cqg.rtd", ,"ContractData",O6,FVS!$R$1,,"T"),"#.00")&amp;" "&amp;"L"</f>
        <v>18.90 L</v>
      </c>
      <c r="P10" s="32" t="str">
        <f>TEXT(RTD("cqg.rtd", ,"ContractData",P6,FVS!$R$1,,"T"),"#.00")&amp;" "&amp;"L"</f>
        <v>19.70 L</v>
      </c>
      <c r="Q10" s="32" t="str">
        <f>TEXT(RTD("cqg.rtd", ,"ContractData",Q6,FVS!$R$1,,"T"),"#.00")&amp;" "&amp;"L"</f>
        <v>20.15 L</v>
      </c>
      <c r="R10" s="32" t="str">
        <f>TEXT(RTD("cqg.rtd", ,"ContractData",R6,FVS!$R$1,,"T"),"#.00")&amp;" "&amp;"L"</f>
        <v>20.50 L</v>
      </c>
      <c r="S10" s="46" t="str">
        <f>TEXT(RTD("cqg.rtd", ,"ContractData",S6,FVS!$R$1,,"T"),"#.00")&amp;" "&amp;"L"</f>
        <v xml:space="preserve"> L</v>
      </c>
      <c r="T10" s="54" t="str">
        <f>TEXT(RTD("cqg.rtd", ,"ContractData", "SPREAD(FVS?1-VX?1)", "Bid",,"T"),"#.00")&amp;" B"</f>
        <v xml:space="preserve"> B</v>
      </c>
      <c r="U10" s="55" t="str">
        <f>TEXT(RTD("cqg.rtd", ,"ContractData", "SPREAD(FVS?2-VX?2)", "Bid",,"T"),"#.00")&amp;" B"</f>
        <v xml:space="preserve"> B</v>
      </c>
      <c r="V10" s="55" t="str">
        <f>TEXT(RTD("cqg.rtd", ,"ContractData", "SPREAD(FVS?3-VX?3)", "Bid",,"T"),"#.00")&amp;" B"</f>
        <v xml:space="preserve"> B</v>
      </c>
      <c r="W10" s="55" t="str">
        <f>TEXT(RTD("cqg.rtd", ,"ContractData", "SPREAD(FVS?4-VX?4)", "Bid",,"T"),"#.00")&amp;" B"</f>
        <v xml:space="preserve"> B</v>
      </c>
      <c r="X10" s="55" t="str">
        <f>TEXT(RTD("cqg.rtd", ,"ContractData", "SPREAD(FVS?5-VX?5)", "Bid",,"T"),"#.00")&amp;" B"</f>
        <v xml:space="preserve"> B</v>
      </c>
      <c r="Y10" s="55" t="str">
        <f>TEXT(RTD("cqg.rtd", ,"ContractData", "SPREAD(FVS?6-VX?6)", "Bid",,"T"),"#.00")&amp;" B"</f>
        <v xml:space="preserve"> B</v>
      </c>
      <c r="Z10" s="56" t="str">
        <f>TEXT(RTD("cqg.rtd", ,"ContractData", "SPREAD(FVS?7-VX?7)", "Bid",,"T"),"#.00")&amp;" B"</f>
        <v xml:space="preserve"> B</v>
      </c>
      <c r="AB10" s="22">
        <v>3</v>
      </c>
      <c r="AC10" s="22" t="s">
        <v>16</v>
      </c>
    </row>
    <row r="11" spans="2:29" ht="13.9" hidden="1" customHeight="1" thickBot="1" x14ac:dyDescent="0.25">
      <c r="B11" s="12"/>
      <c r="C11" s="72"/>
      <c r="D11" s="19" t="e">
        <f>RTD("cqg.rtd", ,"ContractData",FVS!D2, "Symbol")</f>
        <v>#N/A</v>
      </c>
      <c r="E11" s="19" t="e">
        <f>RTD("cqg.rtd", ,"ContractData",FVS!E2, "Symbol")</f>
        <v>#N/A</v>
      </c>
      <c r="F11" s="19" t="e">
        <f>RTD("cqg.rtd", ,"ContractData",FVS!F2, "Symbol")</f>
        <v>#N/A</v>
      </c>
      <c r="G11" s="19" t="e">
        <f>RTD("cqg.rtd", ,"ContractData",FVS!G2, "Symbol")</f>
        <v>#N/A</v>
      </c>
      <c r="H11" s="19" t="e">
        <f>RTD("cqg.rtd", ,"ContractData",FVS!H2, "Symbol")</f>
        <v>#N/A</v>
      </c>
      <c r="I11" s="20" t="e">
        <f>RTD("cqg.rtd", ,"ContractData",FVS!I2, "Symbol")</f>
        <v>#N/A</v>
      </c>
      <c r="J11" s="69"/>
      <c r="K11" s="68"/>
      <c r="L11" s="83" t="e">
        <f>RTD("cqg.rtd", ,"ContractData",VX!D2, "Symbol")</f>
        <v>#N/A</v>
      </c>
      <c r="M11" s="83" t="e">
        <f>RTD("cqg.rtd", ,"ContractData",VX!E2, "Symbol")</f>
        <v>#N/A</v>
      </c>
      <c r="N11" s="83" t="e">
        <f>RTD("cqg.rtd", ,"ContractData",VX!F2, "Symbol")</f>
        <v>#N/A</v>
      </c>
      <c r="O11" s="83" t="e">
        <f>RTD("cqg.rtd", ,"ContractData",VX!G2, "Symbol")</f>
        <v>#N/A</v>
      </c>
      <c r="P11" s="23" t="e">
        <f>RTD("cqg.rtd", ,"ContractData",VX!H2, "Symbol")</f>
        <v>#N/A</v>
      </c>
      <c r="Q11" s="23"/>
      <c r="R11" s="23"/>
      <c r="S11" s="23"/>
      <c r="T11" s="57"/>
      <c r="U11" s="58"/>
      <c r="V11" s="58"/>
      <c r="W11" s="58"/>
      <c r="X11" s="58"/>
      <c r="Y11" s="58"/>
      <c r="Z11" s="59"/>
      <c r="AB11" s="22">
        <v>4</v>
      </c>
      <c r="AC11" s="22" t="s">
        <v>17</v>
      </c>
    </row>
    <row r="12" spans="2:29" ht="15" customHeight="1" thickBot="1" x14ac:dyDescent="0.25">
      <c r="B12" s="166" t="s">
        <v>27</v>
      </c>
      <c r="C12" s="167"/>
      <c r="D12" s="167"/>
      <c r="E12" s="167"/>
      <c r="F12" s="167"/>
      <c r="G12" s="167"/>
      <c r="H12" s="167"/>
      <c r="I12" s="167"/>
      <c r="J12" s="168"/>
      <c r="K12" s="161" t="s">
        <v>27</v>
      </c>
      <c r="L12" s="162"/>
      <c r="M12" s="162"/>
      <c r="N12" s="162"/>
      <c r="O12" s="162"/>
      <c r="P12" s="162"/>
      <c r="Q12" s="162"/>
      <c r="R12" s="162"/>
      <c r="S12" s="163"/>
      <c r="T12" s="82" t="str">
        <f>RTD("cqg.rtd", ,"ContractData", "SPREAD(FVS?1-VX?1)", "VolumeLastBid")</f>
        <v/>
      </c>
      <c r="U12" s="60" t="str">
        <f>RTD("cqg.rtd", ,"ContractData", "SPREAD(FVS?2-VX?2)", "VolumeLastBid")</f>
        <v/>
      </c>
      <c r="V12" s="60" t="str">
        <f>RTD("cqg.rtd", ,"ContractData", "SPREAD(FVS?3-VX?3)", "VolumeLastBid")</f>
        <v/>
      </c>
      <c r="W12" s="60" t="str">
        <f>RTD("cqg.rtd", ,"ContractData", "SPREAD(FVS?4-VX?4)", "VolumeLastBid")</f>
        <v/>
      </c>
      <c r="X12" s="60" t="str">
        <f>RTD("cqg.rtd", ,"ContractData", "SPREAD(FVS?5-VX?5)", "VolumeLastBid")</f>
        <v/>
      </c>
      <c r="Y12" s="60" t="str">
        <f>RTD("cqg.rtd", ,"ContractData", "SPREAD(FVS?6-VX?6)", "VolumeLastBid")</f>
        <v/>
      </c>
      <c r="Z12" s="61" t="str">
        <f>RTD("cqg.rtd", ,"ContractData", "SPREAD(FVS?7-VX?7)", "VolumeLastBid")</f>
        <v/>
      </c>
    </row>
    <row r="13" spans="2:29" x14ac:dyDescent="0.2">
      <c r="B13" s="73">
        <f ca="1">FVS!P2</f>
        <v>0</v>
      </c>
      <c r="C13" s="74"/>
      <c r="D13" s="75">
        <f ca="1">FVS!P3</f>
        <v>35</v>
      </c>
      <c r="E13" s="76">
        <f ca="1">FVS!P4</f>
        <v>63</v>
      </c>
      <c r="F13" s="76">
        <f ca="1">FVS!P5</f>
        <v>91</v>
      </c>
      <c r="G13" s="76">
        <f ca="1">FVS!P6</f>
        <v>126</v>
      </c>
      <c r="H13" s="75">
        <f ca="1">FVS!P7</f>
        <v>154</v>
      </c>
      <c r="I13" s="77">
        <f ca="1">FVS!P8</f>
        <v>189</v>
      </c>
      <c r="J13" s="77">
        <f ca="1">IF(ISERROR(FVS!P9),"",FVS!P9)</f>
        <v>217</v>
      </c>
      <c r="K13" s="73">
        <f ca="1">VX!P2</f>
        <v>34</v>
      </c>
      <c r="L13" s="74">
        <f ca="1">VX!P3</f>
        <v>62</v>
      </c>
      <c r="M13" s="75">
        <f ca="1">VX!P4</f>
        <v>90</v>
      </c>
      <c r="N13" s="76">
        <f ca="1">VX!P5</f>
        <v>125</v>
      </c>
      <c r="O13" s="76">
        <f ca="1">VX!P6</f>
        <v>153</v>
      </c>
      <c r="P13" s="76">
        <f ca="1">VX!P7</f>
        <v>188</v>
      </c>
      <c r="Q13" s="75">
        <f ca="1">VX!P8</f>
        <v>216</v>
      </c>
      <c r="R13" s="75">
        <f ca="1">VX!P9</f>
        <v>244</v>
      </c>
      <c r="S13" s="109">
        <f ca="1">VX!P10</f>
        <v>272</v>
      </c>
      <c r="T13" s="85"/>
      <c r="U13" s="86"/>
      <c r="V13" s="86"/>
      <c r="W13" s="86"/>
      <c r="X13" s="86"/>
      <c r="Y13" s="86"/>
      <c r="Z13" s="111" t="s">
        <v>7</v>
      </c>
    </row>
    <row r="14" spans="2:29" ht="12.75" customHeight="1" x14ac:dyDescent="0.2">
      <c r="B14" s="175" t="s">
        <v>21</v>
      </c>
      <c r="C14" s="78"/>
      <c r="D14" s="79" t="s">
        <v>24</v>
      </c>
      <c r="E14" s="80" t="s">
        <v>25</v>
      </c>
      <c r="F14" s="80" t="s">
        <v>26</v>
      </c>
      <c r="G14" s="164" t="s">
        <v>29</v>
      </c>
      <c r="H14" s="181" t="str">
        <f>" "&amp;TEXT(RTD("cqg.rtd",,"ContractData","V2TX","LastPrice",,"T"),"#.00")&amp;"    NC: "&amp;TEXT(RTD("cqg.rtd",,"ContractData","V2TX","NetChange",,"T"),"#.00")</f>
        <v xml:space="preserve"> 18.48    NC: -.76</v>
      </c>
      <c r="I14" s="182"/>
      <c r="J14" s="183"/>
      <c r="K14" s="175" t="s">
        <v>21</v>
      </c>
      <c r="L14" s="79" t="s">
        <v>24</v>
      </c>
      <c r="M14" s="80" t="s">
        <v>25</v>
      </c>
      <c r="N14" s="80" t="s">
        <v>26</v>
      </c>
      <c r="O14" s="164" t="s">
        <v>29</v>
      </c>
      <c r="P14" s="181" t="str">
        <f>" "&amp;TEXT(RTD("cqg.rtd", ,"ContractData", "VXC", "LastPrice",,"T"),"#.00")&amp;"    NC: "&amp;TEXT(RTD("cqg.rtd", ,"ContractData", "VXC", "NetChange",,"T"),"#.00")</f>
        <v xml:space="preserve"> 13.78    NC: -.64</v>
      </c>
      <c r="Q14" s="182"/>
      <c r="R14" s="182"/>
      <c r="S14" s="110"/>
      <c r="T14" s="112"/>
      <c r="U14" s="14"/>
      <c r="V14" s="14"/>
      <c r="W14" s="14"/>
      <c r="X14" s="14"/>
      <c r="Y14" s="14"/>
      <c r="Z14" s="113"/>
    </row>
    <row r="15" spans="2:29" ht="12.75" customHeight="1" thickBot="1" x14ac:dyDescent="0.25">
      <c r="B15" s="176"/>
      <c r="C15" s="32"/>
      <c r="D15" s="81">
        <f>RTD("cqg.rtd", ,"ContractData", "V2TX", "Open",,"T")</f>
        <v>19.11</v>
      </c>
      <c r="E15" s="81">
        <f>RTD("cqg.rtd", ,"ContractData", "V2TX", "High",,"T")</f>
        <v>20.150000000000002</v>
      </c>
      <c r="F15" s="81">
        <f>RTD("cqg.rtd", ,"ContractData", "V2TX", "Low",,"T")</f>
        <v>18.45</v>
      </c>
      <c r="G15" s="177"/>
      <c r="H15" s="184"/>
      <c r="I15" s="185"/>
      <c r="J15" s="186"/>
      <c r="K15" s="178"/>
      <c r="L15" s="84">
        <f>RTD("cqg.rtd", ,"ContractData", "VXC", "Open",,"T")</f>
        <v>14.42</v>
      </c>
      <c r="M15" s="84">
        <f>RTD("cqg.rtd", ,"ContractData", "VXC", "High",,"T")</f>
        <v>14.44</v>
      </c>
      <c r="N15" s="84">
        <f>RTD("cqg.rtd", ,"ContractData", "VXC", "Low",,"T")</f>
        <v>13.76</v>
      </c>
      <c r="O15" s="165"/>
      <c r="P15" s="184"/>
      <c r="Q15" s="185"/>
      <c r="R15" s="185"/>
      <c r="S15" s="108"/>
      <c r="T15" s="112"/>
      <c r="U15" s="14"/>
      <c r="V15" s="14"/>
      <c r="W15" s="14"/>
      <c r="X15" s="14"/>
      <c r="Y15" s="14"/>
      <c r="Z15" s="113"/>
    </row>
    <row r="16" spans="2:29" x14ac:dyDescent="0.2">
      <c r="B16" s="98"/>
      <c r="C16" s="99"/>
      <c r="D16" s="99"/>
      <c r="E16" s="99"/>
      <c r="F16" s="34"/>
      <c r="G16" s="86"/>
      <c r="H16" s="86"/>
      <c r="I16" s="86"/>
      <c r="J16" s="87"/>
      <c r="K16" s="85"/>
      <c r="L16" s="86"/>
      <c r="M16" s="86"/>
      <c r="N16" s="86"/>
      <c r="O16" s="86"/>
      <c r="P16" s="86"/>
      <c r="Q16" s="86"/>
      <c r="R16" s="86"/>
      <c r="S16" s="86"/>
      <c r="T16" s="114"/>
      <c r="U16" s="14"/>
      <c r="V16" s="14"/>
      <c r="W16" s="14"/>
      <c r="X16" s="14"/>
      <c r="Y16" s="14"/>
      <c r="Z16" s="113"/>
    </row>
    <row r="17" spans="2:35" x14ac:dyDescent="0.2">
      <c r="B17" s="91"/>
      <c r="C17" s="16"/>
      <c r="D17" s="16"/>
      <c r="E17" s="16"/>
      <c r="F17" s="13"/>
      <c r="G17" s="13"/>
      <c r="H17" s="13"/>
      <c r="I17" s="13"/>
      <c r="J17" s="71"/>
      <c r="K17" s="88"/>
      <c r="L17" s="13"/>
      <c r="M17" s="13"/>
      <c r="N17" s="13"/>
      <c r="O17" s="13"/>
      <c r="P17" s="13"/>
      <c r="Q17" s="13"/>
      <c r="R17" s="13"/>
      <c r="S17" s="13"/>
      <c r="T17" s="112"/>
      <c r="U17" s="14"/>
      <c r="V17" s="14"/>
      <c r="W17" s="14"/>
      <c r="X17" s="14"/>
      <c r="Y17" s="14"/>
      <c r="Z17" s="113"/>
    </row>
    <row r="18" spans="2:35" x14ac:dyDescent="0.2">
      <c r="B18" s="91"/>
      <c r="C18" s="16"/>
      <c r="D18" s="16"/>
      <c r="E18" s="16"/>
      <c r="F18" s="13"/>
      <c r="G18" s="13"/>
      <c r="H18" s="13"/>
      <c r="I18" s="13"/>
      <c r="J18" s="71"/>
      <c r="K18" s="88"/>
      <c r="L18" s="13"/>
      <c r="M18" s="13"/>
      <c r="N18" s="13"/>
      <c r="O18" s="13"/>
      <c r="P18" s="13"/>
      <c r="Q18" s="13"/>
      <c r="R18" s="13"/>
      <c r="S18" s="13"/>
      <c r="T18" s="112"/>
      <c r="U18" s="14"/>
      <c r="V18" s="14"/>
      <c r="W18" s="14"/>
      <c r="X18" s="14"/>
      <c r="Y18" s="14"/>
      <c r="Z18" s="113" t="s">
        <v>7</v>
      </c>
      <c r="AA18" s="21" t="e">
        <f>(RTD("cqg.rtd",,"ContractData",L11,"LongDescription"))</f>
        <v>#N/A</v>
      </c>
    </row>
    <row r="19" spans="2:35" x14ac:dyDescent="0.2">
      <c r="B19" s="91"/>
      <c r="C19" s="16"/>
      <c r="D19" s="16"/>
      <c r="E19" s="16"/>
      <c r="F19" s="13"/>
      <c r="G19" s="13"/>
      <c r="H19" s="13"/>
      <c r="I19" s="13"/>
      <c r="J19" s="71"/>
      <c r="K19" s="88"/>
      <c r="L19" s="13"/>
      <c r="M19" s="13"/>
      <c r="N19" s="13"/>
      <c r="O19" s="13"/>
      <c r="P19" s="13"/>
      <c r="Q19" s="13"/>
      <c r="R19" s="13"/>
      <c r="S19" s="13"/>
      <c r="T19" s="112"/>
      <c r="U19" s="14"/>
      <c r="V19" s="14"/>
      <c r="W19" s="14"/>
      <c r="X19" s="14"/>
      <c r="Y19" s="14"/>
      <c r="Z19" s="113"/>
      <c r="AA19" s="21" t="e">
        <f>(RTD("cqg.rtd",,"ContractData",D11,"LongDescription"))</f>
        <v>#N/A</v>
      </c>
    </row>
    <row r="20" spans="2:35" ht="13.5" customHeight="1" x14ac:dyDescent="0.2">
      <c r="B20" s="89"/>
      <c r="C20" s="15"/>
      <c r="D20" s="15"/>
      <c r="E20" s="15"/>
      <c r="F20" s="12"/>
      <c r="G20" s="15"/>
      <c r="H20" s="15"/>
      <c r="I20" s="15"/>
      <c r="J20" s="90"/>
      <c r="K20" s="89"/>
      <c r="L20" s="15"/>
      <c r="M20" s="15"/>
      <c r="N20" s="15"/>
      <c r="O20" s="15"/>
      <c r="P20" s="15"/>
      <c r="Q20" s="15"/>
      <c r="R20" s="15"/>
      <c r="S20" s="15"/>
      <c r="T20" s="114"/>
      <c r="U20" s="14"/>
      <c r="V20" s="14"/>
      <c r="W20" s="14"/>
      <c r="X20" s="14"/>
      <c r="Y20" s="14"/>
      <c r="Z20" s="113"/>
    </row>
    <row r="21" spans="2:35" ht="15" customHeight="1" x14ac:dyDescent="0.2">
      <c r="B21" s="91"/>
      <c r="C21" s="16"/>
      <c r="D21" s="16"/>
      <c r="E21" s="16"/>
      <c r="F21" s="16"/>
      <c r="G21" s="16"/>
      <c r="H21" s="16"/>
      <c r="I21" s="16"/>
      <c r="J21" s="92"/>
      <c r="K21" s="91"/>
      <c r="L21" s="16"/>
      <c r="M21" s="16"/>
      <c r="N21" s="16"/>
      <c r="O21" s="16"/>
      <c r="P21" s="16"/>
      <c r="Q21" s="16"/>
      <c r="R21" s="16"/>
      <c r="S21" s="16"/>
      <c r="T21" s="115"/>
      <c r="U21" s="37"/>
      <c r="V21" s="37"/>
      <c r="W21" s="37"/>
      <c r="X21" s="37"/>
      <c r="Y21" s="37"/>
      <c r="Z21" s="113"/>
    </row>
    <row r="22" spans="2:35" x14ac:dyDescent="0.2">
      <c r="B22" s="91"/>
      <c r="C22" s="16"/>
      <c r="D22" s="16"/>
      <c r="E22" s="16"/>
      <c r="F22" s="16"/>
      <c r="G22" s="16"/>
      <c r="H22" s="16"/>
      <c r="I22" s="16"/>
      <c r="J22" s="92"/>
      <c r="K22" s="91"/>
      <c r="L22" s="16"/>
      <c r="M22" s="16"/>
      <c r="N22" s="16"/>
      <c r="O22" s="16"/>
      <c r="P22" s="16"/>
      <c r="Q22" s="16"/>
      <c r="R22" s="16"/>
      <c r="S22" s="16"/>
      <c r="T22" s="115"/>
      <c r="U22" s="37"/>
      <c r="V22" s="37"/>
      <c r="W22" s="37"/>
      <c r="X22" s="37"/>
      <c r="Y22" s="37"/>
      <c r="Z22" s="113"/>
    </row>
    <row r="23" spans="2:35" x14ac:dyDescent="0.2">
      <c r="B23" s="91"/>
      <c r="C23" s="16"/>
      <c r="D23" s="16"/>
      <c r="E23" s="16"/>
      <c r="F23" s="16"/>
      <c r="G23" s="16"/>
      <c r="H23" s="16"/>
      <c r="I23" s="16"/>
      <c r="J23" s="92"/>
      <c r="K23" s="91"/>
      <c r="L23" s="16"/>
      <c r="M23" s="16"/>
      <c r="N23" s="16"/>
      <c r="O23" s="16"/>
      <c r="P23" s="16"/>
      <c r="Q23" s="16"/>
      <c r="R23" s="16"/>
      <c r="S23" s="16"/>
      <c r="T23" s="115"/>
      <c r="U23" s="37"/>
      <c r="V23" s="37"/>
      <c r="W23" s="37"/>
      <c r="X23" s="37"/>
      <c r="Y23" s="37"/>
      <c r="Z23" s="113"/>
    </row>
    <row r="24" spans="2:35" x14ac:dyDescent="0.2">
      <c r="B24" s="100"/>
      <c r="C24" s="17"/>
      <c r="D24" s="17"/>
      <c r="E24" s="17"/>
      <c r="F24" s="18"/>
      <c r="G24" s="12"/>
      <c r="H24" s="15"/>
      <c r="I24" s="15"/>
      <c r="J24" s="90"/>
      <c r="K24" s="89"/>
      <c r="L24" s="15"/>
      <c r="M24" s="15"/>
      <c r="N24" s="15"/>
      <c r="O24" s="15"/>
      <c r="P24" s="15"/>
      <c r="Q24" s="15"/>
      <c r="R24" s="15"/>
      <c r="S24" s="15"/>
      <c r="T24" s="116"/>
      <c r="U24" s="37"/>
      <c r="V24" s="37"/>
      <c r="W24" s="37"/>
      <c r="X24" s="37"/>
      <c r="Y24" s="37"/>
      <c r="Z24" s="113"/>
    </row>
    <row r="25" spans="2:35" x14ac:dyDescent="0.2">
      <c r="B25" s="88"/>
      <c r="C25" s="13"/>
      <c r="D25" s="13"/>
      <c r="E25" s="13"/>
      <c r="F25" s="13"/>
      <c r="G25" s="13"/>
      <c r="H25" s="16"/>
      <c r="I25" s="16"/>
      <c r="J25" s="92"/>
      <c r="K25" s="91"/>
      <c r="L25" s="16"/>
      <c r="M25" s="16"/>
      <c r="N25" s="16"/>
      <c r="O25" s="16"/>
      <c r="P25" s="16"/>
      <c r="Q25" s="16"/>
      <c r="R25" s="16"/>
      <c r="S25" s="16"/>
      <c r="T25" s="115"/>
      <c r="U25" s="37"/>
      <c r="V25" s="37"/>
      <c r="W25" s="37"/>
      <c r="X25" s="37"/>
      <c r="Y25" s="37"/>
      <c r="Z25" s="113"/>
    </row>
    <row r="26" spans="2:35" x14ac:dyDescent="0.2">
      <c r="B26" s="88"/>
      <c r="C26" s="13"/>
      <c r="D26" s="13"/>
      <c r="E26" s="13"/>
      <c r="F26" s="13"/>
      <c r="G26" s="13"/>
      <c r="H26" s="16"/>
      <c r="I26" s="16"/>
      <c r="J26" s="92"/>
      <c r="K26" s="91"/>
      <c r="L26" s="16"/>
      <c r="M26" s="16"/>
      <c r="N26" s="16"/>
      <c r="O26" s="16"/>
      <c r="P26" s="16"/>
      <c r="Q26" s="16"/>
      <c r="R26" s="16"/>
      <c r="S26" s="16"/>
      <c r="T26" s="115"/>
      <c r="U26" s="37"/>
      <c r="V26" s="37"/>
      <c r="W26" s="37"/>
      <c r="X26" s="37"/>
      <c r="Y26" s="37"/>
      <c r="Z26" s="113"/>
    </row>
    <row r="27" spans="2:35" ht="13.5" customHeight="1" x14ac:dyDescent="0.2">
      <c r="B27" s="88"/>
      <c r="C27" s="13"/>
      <c r="D27" s="13"/>
      <c r="E27" s="13"/>
      <c r="F27" s="13"/>
      <c r="G27" s="13"/>
      <c r="H27" s="16"/>
      <c r="I27" s="16"/>
      <c r="J27" s="92"/>
      <c r="K27" s="91"/>
      <c r="L27" s="16"/>
      <c r="M27" s="16"/>
      <c r="N27" s="16"/>
      <c r="O27" s="16"/>
      <c r="P27" s="16"/>
      <c r="Q27" s="16"/>
      <c r="R27" s="16"/>
      <c r="S27" s="16"/>
      <c r="T27" s="115"/>
      <c r="U27" s="37"/>
      <c r="V27" s="37"/>
      <c r="W27" s="37"/>
      <c r="X27" s="37"/>
      <c r="Y27" s="37"/>
      <c r="Z27" s="113"/>
    </row>
    <row r="28" spans="2:35" ht="13.5" customHeight="1" x14ac:dyDescent="0.2">
      <c r="B28" s="88"/>
      <c r="C28" s="13"/>
      <c r="D28" s="13"/>
      <c r="E28" s="13"/>
      <c r="F28" s="13"/>
      <c r="G28" s="13"/>
      <c r="H28" s="12"/>
      <c r="I28" s="17"/>
      <c r="J28" s="70"/>
      <c r="K28" s="93"/>
      <c r="L28" s="17"/>
      <c r="M28" s="17"/>
      <c r="N28" s="17"/>
      <c r="O28" s="17"/>
      <c r="P28" s="17"/>
      <c r="Q28" s="17"/>
      <c r="R28" s="17"/>
      <c r="S28" s="17"/>
      <c r="T28" s="116"/>
      <c r="U28" s="37"/>
      <c r="V28" s="37"/>
      <c r="W28" s="37"/>
      <c r="X28" s="37"/>
      <c r="Y28" s="37"/>
      <c r="Z28" s="113"/>
    </row>
    <row r="29" spans="2:35" ht="13.5" customHeight="1" x14ac:dyDescent="0.2">
      <c r="B29" s="88"/>
      <c r="C29" s="13"/>
      <c r="D29" s="13"/>
      <c r="E29" s="13"/>
      <c r="F29" s="13"/>
      <c r="G29" s="13"/>
      <c r="H29" s="16"/>
      <c r="I29" s="16"/>
      <c r="J29" s="92"/>
      <c r="K29" s="91"/>
      <c r="L29" s="16"/>
      <c r="M29" s="16"/>
      <c r="N29" s="16"/>
      <c r="O29" s="16"/>
      <c r="P29" s="16"/>
      <c r="Q29" s="16"/>
      <c r="R29" s="16"/>
      <c r="S29" s="16"/>
      <c r="T29" s="115"/>
      <c r="U29" s="37"/>
      <c r="V29" s="37"/>
      <c r="W29" s="37"/>
      <c r="X29" s="37"/>
      <c r="Y29" s="37"/>
      <c r="Z29" s="113"/>
    </row>
    <row r="30" spans="2:35" x14ac:dyDescent="0.2">
      <c r="B30" s="88"/>
      <c r="C30" s="13"/>
      <c r="D30" s="13"/>
      <c r="E30" s="13"/>
      <c r="F30" s="13"/>
      <c r="G30" s="13"/>
      <c r="H30" s="16"/>
      <c r="I30" s="16"/>
      <c r="J30" s="92"/>
      <c r="K30" s="91"/>
      <c r="L30" s="16"/>
      <c r="M30" s="16"/>
      <c r="N30" s="16"/>
      <c r="O30" s="16"/>
      <c r="P30" s="16"/>
      <c r="Q30" s="16"/>
      <c r="R30" s="16"/>
      <c r="S30" s="16"/>
      <c r="T30" s="115"/>
      <c r="U30" s="37"/>
      <c r="V30" s="37"/>
      <c r="W30" s="37"/>
      <c r="X30" s="37"/>
      <c r="Y30" s="37"/>
      <c r="Z30" s="113"/>
      <c r="AA30" s="21">
        <f>RTD("cqg.rtd",,"StudyData",AC30, "Vol", "VolType=auto,CoCType=Contract", "Vol","D","0","ALL",,,"TRUE","T")</f>
        <v>4619</v>
      </c>
      <c r="AB30" s="21" t="str">
        <f>RIGHT(RTD("cqg.rtd", ,"ContractData",AC30, "LongDescription"),6)</f>
        <v>Jul 13</v>
      </c>
      <c r="AC30" s="21" t="str">
        <f>FVS!Q2</f>
        <v>FVSN3</v>
      </c>
      <c r="AD30" s="21">
        <f>RTD("cqg.rtd",,"StudyData",AF30, "Vol", "VolType=auto,CoCType=Contract", "Vol","D","0","ALL",,,"TRUE","T")</f>
        <v>68769</v>
      </c>
      <c r="AE30" s="21" t="str">
        <f>RIGHT(RTD("cqg.rtd", ,"ContractData",AF30, "LongDescription"),6)</f>
        <v>Aug 13</v>
      </c>
      <c r="AF30" s="21" t="str">
        <f>VX!Q2</f>
        <v>VXQ3</v>
      </c>
      <c r="AG30" s="21">
        <f>RTD("cqg.rtd",,"StudyData",AI30, "Vol", "VolType=auto,CoCType=Contract", "Vol","D","0","ALL",,,"TRUE","T")</f>
        <v>0</v>
      </c>
      <c r="AH30" s="21" t="str">
        <f>RIGHT(RTD("cqg.rtd", ,"ContractData",AI30, "LongDescription"),6)</f>
        <v>ssion.</v>
      </c>
      <c r="AI30" s="21">
        <f>Spread!Q2</f>
        <v>0</v>
      </c>
    </row>
    <row r="31" spans="2:35" ht="13.5" thickBot="1" x14ac:dyDescent="0.25">
      <c r="B31" s="101"/>
      <c r="C31" s="102"/>
      <c r="D31" s="102"/>
      <c r="E31" s="102"/>
      <c r="F31" s="102"/>
      <c r="G31" s="102"/>
      <c r="H31" s="95"/>
      <c r="I31" s="95"/>
      <c r="J31" s="92"/>
      <c r="K31" s="94"/>
      <c r="L31" s="95"/>
      <c r="M31" s="95"/>
      <c r="N31" s="95"/>
      <c r="O31" s="95"/>
      <c r="P31" s="95"/>
      <c r="Q31" s="95"/>
      <c r="R31" s="95"/>
      <c r="S31" s="95"/>
      <c r="T31" s="115"/>
      <c r="U31" s="37"/>
      <c r="V31" s="37"/>
      <c r="W31" s="37"/>
      <c r="X31" s="37"/>
      <c r="Y31" s="37"/>
      <c r="Z31" s="113"/>
      <c r="AA31" s="21">
        <f>RTD("cqg.rtd",,"StudyData",AC31, "Vol", "VolType=auto,CoCType=Contract", "Vol","D","0","ALL",,,"TRUE","T")</f>
        <v>4864</v>
      </c>
      <c r="AB31" s="21" t="str">
        <f>RIGHT(RTD("cqg.rtd", ,"ContractData",AC31, "LongDescription"),6)</f>
        <v>Aug 13</v>
      </c>
      <c r="AC31" s="21" t="str">
        <f>FVS!Q3</f>
        <v>FVSQ3</v>
      </c>
      <c r="AD31" s="21">
        <f>RTD("cqg.rtd",,"StudyData",AF31, "Vol", "VolType=auto,CoCType=Contract", "Vol","D","0","ALL",,,"TRUE","T")</f>
        <v>34543</v>
      </c>
      <c r="AE31" s="21" t="str">
        <f>RIGHT(RTD("cqg.rtd", ,"ContractData",AF31, "LongDescription"),6)</f>
        <v>Sep 13</v>
      </c>
      <c r="AF31" s="21" t="str">
        <f>VX!Q3</f>
        <v>VXU3</v>
      </c>
      <c r="AG31" s="21">
        <f>RTD("cqg.rtd",,"StudyData",AI31, "Vol", "VolType=auto,CoCType=Contract", "Vol","D","0","ALL",,,"TRUE","T")</f>
        <v>0</v>
      </c>
      <c r="AH31" s="21" t="str">
        <f>RIGHT(RTD("cqg.rtd", ,"ContractData",AI31, "LongDescription"),6)</f>
        <v>ssion.</v>
      </c>
      <c r="AI31" s="21">
        <f>Spread!Q3</f>
        <v>0</v>
      </c>
    </row>
    <row r="32" spans="2:35" x14ac:dyDescent="0.2">
      <c r="B32" s="103"/>
      <c r="C32" s="104"/>
      <c r="D32" s="104"/>
      <c r="E32" s="104"/>
      <c r="F32" s="104"/>
      <c r="G32" s="104"/>
      <c r="H32" s="105"/>
      <c r="I32" s="120"/>
      <c r="J32" s="106"/>
      <c r="K32" s="96"/>
      <c r="L32" s="97"/>
      <c r="M32" s="97"/>
      <c r="N32" s="97"/>
      <c r="O32" s="97"/>
      <c r="P32" s="97"/>
      <c r="Q32" s="97"/>
      <c r="R32" s="97"/>
      <c r="S32" s="97"/>
      <c r="T32" s="36"/>
      <c r="U32" s="37"/>
      <c r="V32" s="37"/>
      <c r="W32" s="37"/>
      <c r="X32" s="37"/>
      <c r="Y32" s="37"/>
      <c r="Z32" s="113"/>
      <c r="AA32" s="21">
        <f>RTD("cqg.rtd",,"StudyData",AC32, "Vol", "VolType=auto,CoCType=Contract", "Vol","D","0","ALL",,,"TRUE","T")</f>
        <v>5843</v>
      </c>
      <c r="AB32" s="21" t="str">
        <f>RIGHT(RTD("cqg.rtd", ,"ContractData",AC32, "LongDescription"),6)</f>
        <v>Sep 13</v>
      </c>
      <c r="AC32" s="21" t="str">
        <f>FVS!Q4</f>
        <v>FVSU3</v>
      </c>
      <c r="AD32" s="21">
        <f>RTD("cqg.rtd",,"StudyData",AF32, "Vol", "VolType=auto,CoCType=Contract", "Vol","D","0","ALL",,,"TRUE","T")</f>
        <v>11319</v>
      </c>
      <c r="AE32" s="21" t="str">
        <f>RIGHT(RTD("cqg.rtd", ,"ContractData",AF32, "LongDescription"),6)</f>
        <v>Oct 13</v>
      </c>
      <c r="AF32" s="21" t="str">
        <f>VX!Q4</f>
        <v>VXV3</v>
      </c>
      <c r="AG32" s="21">
        <f>RTD("cqg.rtd",,"StudyData",AI32, "Vol", "VolType=auto,CoCType=Contract", "Vol","D","0","ALL",,,"TRUE","T")</f>
        <v>0</v>
      </c>
      <c r="AH32" s="21" t="str">
        <f>RIGHT(RTD("cqg.rtd", ,"ContractData",AI32, "LongDescription"),6)</f>
        <v>ssion.</v>
      </c>
      <c r="AI32" s="21">
        <f>Spread!Q4</f>
        <v>0</v>
      </c>
    </row>
    <row r="33" spans="2:35" x14ac:dyDescent="0.2">
      <c r="B33" s="91"/>
      <c r="C33" s="16"/>
      <c r="D33" s="13"/>
      <c r="E33" s="13"/>
      <c r="F33" s="13"/>
      <c r="G33" s="13"/>
      <c r="H33" s="13"/>
      <c r="I33" s="13"/>
      <c r="J33" s="71"/>
      <c r="K33" s="91"/>
      <c r="L33" s="16"/>
      <c r="M33" s="16"/>
      <c r="N33" s="16"/>
      <c r="O33" s="16"/>
      <c r="P33" s="16"/>
      <c r="Q33" s="16"/>
      <c r="R33" s="16"/>
      <c r="S33" s="16"/>
      <c r="T33" s="36"/>
      <c r="U33" s="37"/>
      <c r="V33" s="37"/>
      <c r="W33" s="37"/>
      <c r="X33" s="37"/>
      <c r="Y33" s="37"/>
      <c r="Z33" s="113"/>
      <c r="AA33" s="21">
        <f>RTD("cqg.rtd",,"StudyData",AC33, "Vol", "VolType=auto,CoCType=Contract", "Vol","D","0","ALL",,,"TRUE","T")</f>
        <v>1449</v>
      </c>
      <c r="AB33" s="21" t="str">
        <f>RIGHT(RTD("cqg.rtd", ,"ContractData",AC33, "LongDescription"),6)</f>
        <v>Oct 13</v>
      </c>
      <c r="AC33" s="21" t="str">
        <f>FVS!Q5</f>
        <v>FVSV3</v>
      </c>
      <c r="AD33" s="21">
        <f>RTD("cqg.rtd",,"StudyData",AF33, "Vol", "VolType=auto,CoCType=Contract", "Vol","D","0","ALL",,,"TRUE","T")</f>
        <v>8066</v>
      </c>
      <c r="AE33" s="21" t="str">
        <f>RIGHT(RTD("cqg.rtd", ,"ContractData",AF33, "LongDescription"),6)</f>
        <v>Nov 13</v>
      </c>
      <c r="AF33" s="21" t="str">
        <f>VX!Q5</f>
        <v>VXX3</v>
      </c>
      <c r="AG33" s="21">
        <f>RTD("cqg.rtd",,"StudyData",AI33, "Vol", "VolType=auto,CoCType=Contract", "Vol","D","0","ALL",,,"TRUE","T")</f>
        <v>0</v>
      </c>
      <c r="AH33" s="21" t="str">
        <f>RIGHT(RTD("cqg.rtd", ,"ContractData",AI33, "LongDescription"),6)</f>
        <v>ssion.</v>
      </c>
      <c r="AI33" s="21">
        <f>Spread!Q5</f>
        <v>0</v>
      </c>
    </row>
    <row r="34" spans="2:35" ht="12" customHeight="1" x14ac:dyDescent="0.2">
      <c r="B34" s="91"/>
      <c r="C34" s="16"/>
      <c r="D34" s="13"/>
      <c r="E34" s="13"/>
      <c r="F34" s="13"/>
      <c r="G34" s="13"/>
      <c r="H34" s="13"/>
      <c r="I34" s="13"/>
      <c r="J34" s="71"/>
      <c r="K34" s="91"/>
      <c r="L34" s="16"/>
      <c r="M34" s="16"/>
      <c r="N34" s="16"/>
      <c r="O34" s="16"/>
      <c r="P34" s="16"/>
      <c r="Q34" s="16"/>
      <c r="R34" s="16"/>
      <c r="S34" s="16"/>
      <c r="T34" s="36"/>
      <c r="U34" s="37"/>
      <c r="V34" s="37"/>
      <c r="W34" s="37"/>
      <c r="X34" s="37"/>
      <c r="Y34" s="37"/>
      <c r="Z34" s="113"/>
      <c r="AA34" s="21">
        <f>RTD("cqg.rtd",,"StudyData",AC34, "Vol", "VolType=auto,CoCType=Contract", "Vol","D","0","ALL",,,"TRUE","T")</f>
        <v>656</v>
      </c>
      <c r="AB34" s="21" t="str">
        <f>RIGHT(RTD("cqg.rtd", ,"ContractData",AC34, "LongDescription"),6)</f>
        <v>Nov 13</v>
      </c>
      <c r="AC34" s="21" t="str">
        <f>FVS!Q6</f>
        <v>FVSX3</v>
      </c>
      <c r="AD34" s="21">
        <f>RTD("cqg.rtd",,"StudyData",AF34, "Vol", "VolType=auto,CoCType=Contract", "Vol","D","0","ALL",,,"TRUE","T")</f>
        <v>7547</v>
      </c>
      <c r="AE34" s="21" t="str">
        <f>RIGHT(RTD("cqg.rtd", ,"ContractData",AF34, "LongDescription"),6)</f>
        <v>Dec 13</v>
      </c>
      <c r="AF34" s="21" t="str">
        <f>VX!Q6</f>
        <v>VXZ3</v>
      </c>
      <c r="AG34" s="21">
        <f>RTD("cqg.rtd",,"StudyData",AI34, "Vol", "VolType=auto,CoCType=Contract", "Vol","D","0","ALL",,,"TRUE","T")</f>
        <v>0</v>
      </c>
      <c r="AH34" s="21" t="str">
        <f>RIGHT(RTD("cqg.rtd", ,"ContractData",AI34, "LongDescription"),6)</f>
        <v>ssion.</v>
      </c>
      <c r="AI34" s="21">
        <f>Spread!Q6</f>
        <v>0</v>
      </c>
    </row>
    <row r="35" spans="2:35" ht="12.6" customHeight="1" x14ac:dyDescent="0.2">
      <c r="B35" s="88"/>
      <c r="C35" s="13"/>
      <c r="D35" s="16"/>
      <c r="E35" s="16"/>
      <c r="F35" s="16"/>
      <c r="G35" s="16"/>
      <c r="H35" s="13"/>
      <c r="I35" s="13"/>
      <c r="J35" s="71"/>
      <c r="K35" s="91"/>
      <c r="L35" s="16"/>
      <c r="M35" s="16"/>
      <c r="N35" s="16"/>
      <c r="O35" s="16"/>
      <c r="P35" s="16"/>
      <c r="Q35" s="16"/>
      <c r="R35" s="16"/>
      <c r="S35" s="16"/>
      <c r="T35" s="36"/>
      <c r="U35" s="37"/>
      <c r="V35" s="37"/>
      <c r="W35" s="37"/>
      <c r="X35" s="37"/>
      <c r="Y35" s="37"/>
      <c r="Z35" s="113"/>
      <c r="AA35" s="21">
        <f>RTD("cqg.rtd",,"StudyData",AC35, "Vol", "VolType=auto,CoCType=Contract", "Vol","D","0","ALL",,,"TRUE","T")</f>
        <v>1797</v>
      </c>
      <c r="AB35" s="21" t="str">
        <f>RIGHT(RTD("cqg.rtd", ,"ContractData",AC35, "LongDescription"),6)</f>
        <v>Dec 13</v>
      </c>
      <c r="AC35" s="21" t="str">
        <f>FVS!Q7</f>
        <v>FVSZ3</v>
      </c>
      <c r="AD35" s="21">
        <f>RTD("cqg.rtd",,"StudyData",AF35, "Vol", "VolType=auto,CoCType=Contract", "Vol","D","0","ALL",,,"TRUE","T")</f>
        <v>4070</v>
      </c>
      <c r="AE35" s="21" t="str">
        <f>RIGHT(RTD("cqg.rtd", ,"ContractData",AF35, "LongDescription"),6)</f>
        <v>Jan 14</v>
      </c>
      <c r="AF35" s="21" t="str">
        <f>VX!Q7</f>
        <v>VXF4</v>
      </c>
      <c r="AG35" s="21">
        <f>RTD("cqg.rtd",,"StudyData",AI35, "Vol", "VolType=auto,CoCType=Contract", "Vol","D","0","ALL",,,"TRUE","T")</f>
        <v>0</v>
      </c>
      <c r="AH35" s="21" t="str">
        <f>RIGHT(RTD("cqg.rtd", ,"ContractData",AI35, "LongDescription"),6)</f>
        <v>ssion.</v>
      </c>
      <c r="AI35" s="21">
        <f>Spread!Q7</f>
        <v>0</v>
      </c>
    </row>
    <row r="36" spans="2:35" ht="13.5" customHeight="1" thickBot="1" x14ac:dyDescent="0.25">
      <c r="B36" s="88"/>
      <c r="C36" s="13"/>
      <c r="D36" s="12"/>
      <c r="E36" s="17"/>
      <c r="F36" s="17"/>
      <c r="G36" s="17"/>
      <c r="H36" s="13"/>
      <c r="I36" s="13"/>
      <c r="J36" s="71"/>
      <c r="K36" s="134"/>
      <c r="L36" s="135"/>
      <c r="M36" s="135"/>
      <c r="N36" s="135"/>
      <c r="O36" s="135"/>
      <c r="P36" s="135"/>
      <c r="Q36" s="135"/>
      <c r="R36" s="135"/>
      <c r="S36" s="135"/>
      <c r="T36" s="36"/>
      <c r="U36" s="37"/>
      <c r="V36" s="37"/>
      <c r="W36" s="37"/>
      <c r="X36" s="37"/>
      <c r="Y36" s="37"/>
      <c r="Z36" s="113"/>
      <c r="AA36" s="21">
        <f>RTD("cqg.rtd",,"StudyData",AC36, "Vol", "VolType=auto,CoCType=Contract", "Vol","D","0","ALL",,,"TRUE","T")</f>
        <v>12</v>
      </c>
      <c r="AB36" s="21" t="str">
        <f>RIGHT(RTD("cqg.rtd", ,"ContractData",AC36, "LongDescription"),6)</f>
        <v>Jan 14</v>
      </c>
      <c r="AC36" s="21" t="str">
        <f>FVS!Q8</f>
        <v>FVSF4</v>
      </c>
      <c r="AD36" s="21">
        <f>RTD("cqg.rtd",,"StudyData",AF36, "Vol", "VolType=auto,CoCType=Contract", "Vol","D","0","ALL",,,"TRUE","T")</f>
        <v>933</v>
      </c>
      <c r="AE36" s="21" t="str">
        <f>RIGHT(RTD("cqg.rtd", ,"ContractData",AF36, "LongDescription"),6)</f>
        <v>Feb 14</v>
      </c>
      <c r="AF36" s="21" t="str">
        <f>VX!Q8</f>
        <v>VXG4</v>
      </c>
      <c r="AG36" s="21">
        <f>RTD("cqg.rtd",,"StudyData",AI36, "Vol", "VolType=auto,CoCType=Contract", "Vol","D","0","ALL",,,"TRUE","T")</f>
        <v>0</v>
      </c>
      <c r="AH36" s="21" t="str">
        <f>RIGHT(RTD("cqg.rtd", ,"ContractData",AI36, "LongDescription"),6)</f>
        <v>ssion.</v>
      </c>
      <c r="AI36" s="21">
        <f>Spread!Q8</f>
        <v>0</v>
      </c>
    </row>
    <row r="37" spans="2:35" ht="13.5" customHeight="1" x14ac:dyDescent="0.2">
      <c r="B37" s="88"/>
      <c r="C37" s="13"/>
      <c r="D37" s="12"/>
      <c r="E37" s="17"/>
      <c r="F37" s="17"/>
      <c r="G37" s="17"/>
      <c r="H37" s="13"/>
      <c r="I37" s="13"/>
      <c r="J37" s="71"/>
      <c r="K37" s="134"/>
      <c r="L37" s="135"/>
      <c r="M37" s="135"/>
      <c r="N37" s="135"/>
      <c r="O37" s="135"/>
      <c r="P37" s="135"/>
      <c r="Q37" s="135"/>
      <c r="R37" s="135"/>
      <c r="S37" s="135"/>
      <c r="T37" s="187" t="s">
        <v>34</v>
      </c>
      <c r="U37" s="188"/>
      <c r="V37" s="188"/>
      <c r="W37" s="143" t="s">
        <v>24</v>
      </c>
      <c r="X37" s="143" t="s">
        <v>25</v>
      </c>
      <c r="Y37" s="143" t="s">
        <v>26</v>
      </c>
      <c r="Z37" s="144" t="s">
        <v>30</v>
      </c>
      <c r="AA37" s="21">
        <f>RTD("cqg.rtd",,"StudyData",AC37, "Vol", "VolType=auto,CoCType=Contract", "Vol","D","0","ALL",,,"TRUE","T")</f>
        <v>1</v>
      </c>
      <c r="AB37" s="21" t="str">
        <f>RIGHT(RTD("cqg.rtd", ,"ContractData",AC37, "LongDescription"),6)</f>
        <v>Feb 14</v>
      </c>
      <c r="AC37" s="21" t="str">
        <f>FVS!Q9</f>
        <v>FVSG4</v>
      </c>
      <c r="AD37" s="21">
        <f>RTD("cqg.rtd",,"StudyData",AF37, "Vol", "VolType=auto,CoCType=Contract", "Vol","D","0","ALL",,,"TRUE","T")</f>
        <v>67</v>
      </c>
      <c r="AE37" s="21" t="str">
        <f>RIGHT(RTD("cqg.rtd", ,"ContractData",AF37, "LongDescription"),6)</f>
        <v>Mar 14</v>
      </c>
      <c r="AF37" s="21" t="str">
        <f>VX!Q9</f>
        <v>VXH4</v>
      </c>
      <c r="AG37" s="21">
        <f>RTD("cqg.rtd",,"StudyData",AI37, "Vol", "VolType=auto,CoCType=Contract", "Vol","D","0","ALL",,,"TRUE","T")</f>
        <v>0</v>
      </c>
      <c r="AH37" s="21" t="str">
        <f>RIGHT(RTD("cqg.rtd", ,"ContractData",AI37, "LongDescription"),6)</f>
        <v>ssion.</v>
      </c>
      <c r="AI37" s="21">
        <f>Spread!Q9</f>
        <v>0</v>
      </c>
    </row>
    <row r="38" spans="2:35" ht="14.25" customHeight="1" thickBot="1" x14ac:dyDescent="0.25">
      <c r="B38" s="88"/>
      <c r="C38" s="13"/>
      <c r="D38" s="12"/>
      <c r="E38" s="17"/>
      <c r="F38" s="17"/>
      <c r="G38" s="17"/>
      <c r="H38" s="13"/>
      <c r="I38" s="13"/>
      <c r="J38" s="71"/>
      <c r="K38" s="131"/>
      <c r="L38" s="132"/>
      <c r="M38" s="132"/>
      <c r="N38" s="132"/>
      <c r="O38" s="132"/>
      <c r="P38" s="132"/>
      <c r="Q38" s="132"/>
      <c r="R38" s="132"/>
      <c r="S38" s="133"/>
      <c r="T38" s="189"/>
      <c r="U38" s="190"/>
      <c r="V38" s="190"/>
      <c r="W38" s="145">
        <f xml:space="preserve"> RTD("cqg.rtd",,"StudyData","Consolidate(FVS?1-VX?1,5X,FVS?1-VX?1,1,0)",  "Bar",, "Open", "D",,,,,,"T")</f>
        <v>3.15</v>
      </c>
      <c r="X38" s="145">
        <f xml:space="preserve"> RTD("cqg.rtd",,"StudyData","Consolidate(FVS?1-VX?1,5X,FVS?1-VX?1,1,0)",  "Bar",, "High", "D",,,,,,"T")</f>
        <v>4.24</v>
      </c>
      <c r="Y38" s="145">
        <f xml:space="preserve"> RTD("cqg.rtd",,"StudyData","Consolidate(FVS?1-VX?1,5X,FVS?1-VX?1,1,0)",  "Bar",, "Low", "D",,,,,,"T")</f>
        <v>3.12</v>
      </c>
      <c r="Z38" s="146">
        <f xml:space="preserve"> RTD("cqg.rtd",,"StudyData","Consolidate(FVS?1-VX?1,5X,FVS?1-VX?1,1,0)",  "Bar",, "Last", "D",,,,,,"T")</f>
        <v>4.24</v>
      </c>
      <c r="AD38" s="21" t="str">
        <f>RTD("cqg.rtd",,"StudyData",AF38, "Vol", "VolType=auto,CoCType=Contract", "Vol","D","0","ALL",,,"TRUE","T")</f>
        <v/>
      </c>
      <c r="AE38" s="21" t="str">
        <f>RIGHT(RTD("cqg.rtd", ,"ContractData",AF38, "LongDescription"),6)</f>
        <v>Apr 14</v>
      </c>
      <c r="AF38" s="21" t="str">
        <f>VX!Q10</f>
        <v>VXJ4</v>
      </c>
      <c r="AG38" s="21">
        <f>RTD("cqg.rtd",,"StudyData",AI38, "Vol", "VolType=auto,CoCType=Contract", "Vol","D","0","ALL",,,"TRUE","T")</f>
        <v>0</v>
      </c>
      <c r="AH38" s="21" t="str">
        <f>RIGHT(RTD("cqg.rtd", ,"ContractData",AI38, "LongDescription"),6)</f>
        <v>ssion.</v>
      </c>
      <c r="AI38" s="21">
        <f>Spread!Q10</f>
        <v>0</v>
      </c>
    </row>
    <row r="39" spans="2:35" ht="14.25" customHeight="1" x14ac:dyDescent="0.2">
      <c r="B39" s="88"/>
      <c r="C39" s="13"/>
      <c r="D39" s="12"/>
      <c r="E39" s="17"/>
      <c r="F39" s="17"/>
      <c r="G39" s="17"/>
      <c r="H39" s="13"/>
      <c r="I39" s="13"/>
      <c r="J39" s="71"/>
      <c r="K39" s="121"/>
      <c r="L39" s="41"/>
      <c r="M39" s="41"/>
      <c r="N39" s="41"/>
      <c r="O39" s="41"/>
      <c r="P39" s="41"/>
      <c r="Q39" s="41"/>
      <c r="R39" s="41"/>
      <c r="S39" s="122"/>
      <c r="T39" s="36"/>
      <c r="U39" s="37"/>
      <c r="V39" s="37"/>
      <c r="W39" s="37"/>
      <c r="X39" s="37"/>
      <c r="Y39" s="37"/>
      <c r="Z39" s="113"/>
    </row>
    <row r="40" spans="2:35" ht="14.25" customHeight="1" x14ac:dyDescent="0.2">
      <c r="B40" s="88"/>
      <c r="C40" s="13"/>
      <c r="D40" s="12"/>
      <c r="E40" s="17"/>
      <c r="F40" s="17"/>
      <c r="G40" s="17"/>
      <c r="H40" s="13"/>
      <c r="I40" s="13"/>
      <c r="J40" s="71"/>
      <c r="K40" s="121"/>
      <c r="L40" s="41"/>
      <c r="M40" s="41"/>
      <c r="N40" s="41"/>
      <c r="O40" s="41"/>
      <c r="P40" s="41"/>
      <c r="Q40" s="41"/>
      <c r="R40" s="41"/>
      <c r="S40" s="122"/>
      <c r="T40" s="36"/>
      <c r="U40" s="37"/>
      <c r="V40" s="37"/>
      <c r="W40" s="37"/>
      <c r="X40" s="37"/>
      <c r="Y40" s="37"/>
      <c r="Z40" s="113"/>
    </row>
    <row r="41" spans="2:35" ht="14.25" customHeight="1" x14ac:dyDescent="0.2">
      <c r="B41" s="88"/>
      <c r="C41" s="13"/>
      <c r="D41" s="12"/>
      <c r="E41" s="17"/>
      <c r="F41" s="17"/>
      <c r="G41" s="17"/>
      <c r="H41" s="13"/>
      <c r="I41" s="13"/>
      <c r="J41" s="71"/>
      <c r="K41" s="121"/>
      <c r="L41" s="41"/>
      <c r="M41" s="41"/>
      <c r="N41" s="41"/>
      <c r="O41" s="41"/>
      <c r="P41" s="41"/>
      <c r="Q41" s="41"/>
      <c r="R41" s="41"/>
      <c r="S41" s="122"/>
      <c r="T41" s="36"/>
      <c r="U41" s="37"/>
      <c r="V41" s="37"/>
      <c r="W41" s="37"/>
      <c r="X41" s="37"/>
      <c r="Y41" s="37"/>
      <c r="Z41" s="113"/>
    </row>
    <row r="42" spans="2:35" ht="14.25" customHeight="1" x14ac:dyDescent="0.2">
      <c r="B42" s="88"/>
      <c r="C42" s="13"/>
      <c r="D42" s="12"/>
      <c r="E42" s="17"/>
      <c r="F42" s="17"/>
      <c r="G42" s="17"/>
      <c r="H42" s="13"/>
      <c r="I42" s="13"/>
      <c r="J42" s="71"/>
      <c r="K42" s="121"/>
      <c r="L42" s="41"/>
      <c r="M42" s="41"/>
      <c r="N42" s="41"/>
      <c r="O42" s="41"/>
      <c r="P42" s="41"/>
      <c r="Q42" s="41"/>
      <c r="R42" s="41"/>
      <c r="S42" s="122"/>
      <c r="T42" s="36"/>
      <c r="U42" s="37"/>
      <c r="V42" s="37"/>
      <c r="W42" s="37"/>
      <c r="X42" s="37"/>
      <c r="Y42" s="37"/>
      <c r="Z42" s="113"/>
    </row>
    <row r="43" spans="2:35" ht="14.25" customHeight="1" x14ac:dyDescent="0.2">
      <c r="B43" s="88"/>
      <c r="C43" s="13"/>
      <c r="D43" s="12"/>
      <c r="E43" s="17"/>
      <c r="F43" s="17"/>
      <c r="G43" s="17"/>
      <c r="H43" s="13"/>
      <c r="I43" s="13"/>
      <c r="J43" s="71"/>
      <c r="K43" s="121"/>
      <c r="L43" s="41"/>
      <c r="M43" s="41"/>
      <c r="N43" s="41"/>
      <c r="O43" s="41"/>
      <c r="P43" s="41"/>
      <c r="Q43" s="41"/>
      <c r="R43" s="41"/>
      <c r="S43" s="122"/>
      <c r="T43" s="36"/>
      <c r="U43" s="37"/>
      <c r="V43" s="37"/>
      <c r="W43" s="37"/>
      <c r="X43" s="37"/>
      <c r="Y43" s="37"/>
      <c r="Z43" s="113"/>
    </row>
    <row r="44" spans="2:35" ht="14.25" customHeight="1" x14ac:dyDescent="0.2">
      <c r="B44" s="88"/>
      <c r="C44" s="13"/>
      <c r="D44" s="12"/>
      <c r="E44" s="17"/>
      <c r="F44" s="17"/>
      <c r="G44" s="17"/>
      <c r="H44" s="13"/>
      <c r="I44" s="13"/>
      <c r="J44" s="71"/>
      <c r="K44" s="121"/>
      <c r="L44" s="41"/>
      <c r="M44" s="41"/>
      <c r="N44" s="41"/>
      <c r="O44" s="41"/>
      <c r="P44" s="41"/>
      <c r="Q44" s="41"/>
      <c r="R44" s="41"/>
      <c r="S44" s="122"/>
      <c r="T44" s="36"/>
      <c r="U44" s="37"/>
      <c r="V44" s="37"/>
      <c r="W44" s="37"/>
      <c r="X44" s="37"/>
      <c r="Y44" s="37"/>
      <c r="Z44" s="113"/>
    </row>
    <row r="45" spans="2:35" ht="14.25" customHeight="1" x14ac:dyDescent="0.2">
      <c r="B45" s="88"/>
      <c r="C45" s="13"/>
      <c r="D45" s="12"/>
      <c r="E45" s="17"/>
      <c r="F45" s="17"/>
      <c r="G45" s="17"/>
      <c r="H45" s="13"/>
      <c r="I45" s="13"/>
      <c r="J45" s="71"/>
      <c r="K45" s="121"/>
      <c r="L45" s="41"/>
      <c r="M45" s="41"/>
      <c r="N45" s="41"/>
      <c r="O45" s="41"/>
      <c r="P45" s="41"/>
      <c r="Q45" s="41"/>
      <c r="R45" s="41"/>
      <c r="S45" s="122"/>
      <c r="T45" s="36"/>
      <c r="U45" s="37"/>
      <c r="V45" s="37"/>
      <c r="W45" s="37"/>
      <c r="X45" s="37"/>
      <c r="Y45" s="37"/>
      <c r="Z45" s="113"/>
    </row>
    <row r="46" spans="2:35" ht="14.25" customHeight="1" x14ac:dyDescent="0.2">
      <c r="B46" s="88"/>
      <c r="C46" s="13"/>
      <c r="D46" s="12"/>
      <c r="E46" s="17"/>
      <c r="F46" s="17"/>
      <c r="G46" s="17"/>
      <c r="H46" s="13"/>
      <c r="I46" s="13"/>
      <c r="J46" s="71"/>
      <c r="K46" s="121"/>
      <c r="L46" s="41"/>
      <c r="M46" s="41"/>
      <c r="N46" s="41"/>
      <c r="O46" s="41"/>
      <c r="P46" s="41"/>
      <c r="Q46" s="41"/>
      <c r="R46" s="41"/>
      <c r="S46" s="122"/>
      <c r="T46" s="36"/>
      <c r="U46" s="37"/>
      <c r="V46" s="37"/>
      <c r="W46" s="37"/>
      <c r="X46" s="37"/>
      <c r="Y46" s="37"/>
      <c r="Z46" s="113"/>
    </row>
    <row r="47" spans="2:35" ht="14.25" customHeight="1" x14ac:dyDescent="0.2">
      <c r="B47" s="88"/>
      <c r="C47" s="13"/>
      <c r="D47" s="12"/>
      <c r="E47" s="17"/>
      <c r="F47" s="17"/>
      <c r="G47" s="17"/>
      <c r="H47" s="13"/>
      <c r="I47" s="13"/>
      <c r="J47" s="71"/>
      <c r="K47" s="121"/>
      <c r="L47" s="41"/>
      <c r="M47" s="41"/>
      <c r="N47" s="41"/>
      <c r="O47" s="41"/>
      <c r="P47" s="41"/>
      <c r="Q47" s="41"/>
      <c r="R47" s="41"/>
      <c r="S47" s="122"/>
      <c r="T47" s="36"/>
      <c r="U47" s="37"/>
      <c r="V47" s="37"/>
      <c r="W47" s="37"/>
      <c r="X47" s="37"/>
      <c r="Y47" s="37"/>
      <c r="Z47" s="113"/>
    </row>
    <row r="48" spans="2:35" ht="14.25" customHeight="1" x14ac:dyDescent="0.2">
      <c r="B48" s="88"/>
      <c r="C48" s="13"/>
      <c r="D48" s="12"/>
      <c r="E48" s="17"/>
      <c r="F48" s="17"/>
      <c r="G48" s="17"/>
      <c r="H48" s="13"/>
      <c r="I48" s="13"/>
      <c r="J48" s="71"/>
      <c r="K48" s="121"/>
      <c r="L48" s="41"/>
      <c r="M48" s="41"/>
      <c r="N48" s="41"/>
      <c r="O48" s="41"/>
      <c r="P48" s="41"/>
      <c r="Q48" s="41"/>
      <c r="R48" s="41"/>
      <c r="S48" s="122"/>
      <c r="T48" s="36"/>
      <c r="U48" s="37"/>
      <c r="V48" s="37"/>
      <c r="W48" s="37"/>
      <c r="X48" s="37"/>
      <c r="Y48" s="37"/>
      <c r="Z48" s="113"/>
    </row>
    <row r="49" spans="2:37" ht="14.25" customHeight="1" x14ac:dyDescent="0.2">
      <c r="B49" s="88"/>
      <c r="C49" s="13"/>
      <c r="D49" s="12"/>
      <c r="E49" s="17"/>
      <c r="F49" s="17"/>
      <c r="G49" s="17"/>
      <c r="H49" s="13"/>
      <c r="I49" s="13"/>
      <c r="J49" s="71"/>
      <c r="K49" s="121"/>
      <c r="L49" s="41"/>
      <c r="M49" s="41"/>
      <c r="N49" s="41"/>
      <c r="O49" s="41"/>
      <c r="P49" s="41"/>
      <c r="Q49" s="41"/>
      <c r="R49" s="41"/>
      <c r="S49" s="122"/>
      <c r="T49" s="36"/>
      <c r="U49" s="37"/>
      <c r="V49" s="37"/>
      <c r="W49" s="37"/>
      <c r="X49" s="37"/>
      <c r="Y49" s="37"/>
      <c r="Z49" s="113"/>
    </row>
    <row r="50" spans="2:37" ht="13.5" customHeight="1" x14ac:dyDescent="0.2">
      <c r="B50" s="88"/>
      <c r="C50" s="13"/>
      <c r="D50" s="16"/>
      <c r="E50" s="16"/>
      <c r="F50" s="16"/>
      <c r="G50" s="16"/>
      <c r="H50" s="15"/>
      <c r="I50" s="15"/>
      <c r="J50" s="90"/>
      <c r="K50" s="121"/>
      <c r="L50" s="41"/>
      <c r="M50" s="41"/>
      <c r="N50" s="41"/>
      <c r="O50" s="41"/>
      <c r="P50" s="41"/>
      <c r="Q50" s="41"/>
      <c r="R50" s="41"/>
      <c r="S50" s="122"/>
      <c r="T50" s="36"/>
      <c r="U50" s="37"/>
      <c r="V50" s="37"/>
      <c r="W50" s="37"/>
      <c r="X50" s="37"/>
      <c r="Y50" s="37"/>
      <c r="Z50" s="113"/>
    </row>
    <row r="51" spans="2:37" x14ac:dyDescent="0.2">
      <c r="B51" s="88"/>
      <c r="C51" s="13"/>
      <c r="D51" s="12"/>
      <c r="E51" s="17"/>
      <c r="F51" s="17"/>
      <c r="G51" s="17"/>
      <c r="H51" s="16"/>
      <c r="I51" s="16"/>
      <c r="J51" s="92"/>
      <c r="K51" s="125"/>
      <c r="L51" s="41"/>
      <c r="M51" s="41"/>
      <c r="N51" s="41"/>
      <c r="O51" s="41"/>
      <c r="P51" s="41"/>
      <c r="Q51" s="41"/>
      <c r="R51" s="41"/>
      <c r="S51" s="122"/>
      <c r="T51" s="36"/>
      <c r="U51" s="37"/>
      <c r="V51" s="37"/>
      <c r="W51" s="37"/>
      <c r="X51" s="37"/>
      <c r="Y51" s="37"/>
      <c r="Z51" s="113"/>
    </row>
    <row r="52" spans="2:37" x14ac:dyDescent="0.2">
      <c r="B52" s="88"/>
      <c r="C52" s="13"/>
      <c r="D52" s="16"/>
      <c r="E52" s="16"/>
      <c r="F52" s="16"/>
      <c r="G52" s="16"/>
      <c r="H52" s="16"/>
      <c r="I52" s="16"/>
      <c r="J52" s="92"/>
      <c r="K52" s="125"/>
      <c r="L52" s="41"/>
      <c r="M52" s="41"/>
      <c r="N52" s="41"/>
      <c r="O52" s="41"/>
      <c r="P52" s="41"/>
      <c r="Q52" s="41"/>
      <c r="R52" s="41"/>
      <c r="S52" s="122"/>
      <c r="T52" s="36"/>
      <c r="U52" s="37"/>
      <c r="V52" s="37"/>
      <c r="W52" s="37"/>
      <c r="X52" s="37"/>
      <c r="Y52" s="37"/>
      <c r="Z52" s="113"/>
    </row>
    <row r="53" spans="2:37" x14ac:dyDescent="0.2">
      <c r="B53" s="88"/>
      <c r="C53" s="13"/>
      <c r="D53" s="12"/>
      <c r="E53" s="17"/>
      <c r="F53" s="17"/>
      <c r="G53" s="17"/>
      <c r="H53" s="16"/>
      <c r="I53" s="16"/>
      <c r="J53" s="92"/>
      <c r="K53" s="125"/>
      <c r="L53" s="41"/>
      <c r="M53" s="41"/>
      <c r="N53" s="41"/>
      <c r="O53" s="41"/>
      <c r="P53" s="41"/>
      <c r="Q53" s="41"/>
      <c r="R53" s="41"/>
      <c r="S53" s="122"/>
      <c r="T53" s="36"/>
      <c r="U53" s="37"/>
      <c r="V53" s="37"/>
      <c r="W53" s="37"/>
      <c r="X53" s="37"/>
      <c r="Y53" s="37"/>
      <c r="Z53" s="113"/>
    </row>
    <row r="54" spans="2:37" x14ac:dyDescent="0.2">
      <c r="B54" s="88"/>
      <c r="C54" s="13"/>
      <c r="D54" s="16"/>
      <c r="E54" s="16"/>
      <c r="F54" s="16"/>
      <c r="G54" s="16"/>
      <c r="H54" s="15"/>
      <c r="I54" s="15"/>
      <c r="J54" s="90"/>
      <c r="K54" s="125"/>
      <c r="L54" s="41"/>
      <c r="M54" s="41"/>
      <c r="N54" s="41"/>
      <c r="O54" s="41"/>
      <c r="P54" s="41"/>
      <c r="Q54" s="41"/>
      <c r="R54" s="41"/>
      <c r="S54" s="122"/>
      <c r="T54" s="36"/>
      <c r="U54" s="37"/>
      <c r="V54" s="37"/>
      <c r="W54" s="37"/>
      <c r="X54" s="37"/>
      <c r="Y54" s="37"/>
      <c r="Z54" s="113"/>
    </row>
    <row r="55" spans="2:37" x14ac:dyDescent="0.2">
      <c r="B55" s="88"/>
      <c r="C55" s="13"/>
      <c r="D55" s="16"/>
      <c r="E55" s="16"/>
      <c r="F55" s="16"/>
      <c r="G55" s="16"/>
      <c r="H55" s="16"/>
      <c r="I55" s="16"/>
      <c r="J55" s="92"/>
      <c r="K55" s="125"/>
      <c r="L55" s="41"/>
      <c r="M55" s="41"/>
      <c r="N55" s="41"/>
      <c r="O55" s="41"/>
      <c r="P55" s="41"/>
      <c r="Q55" s="41"/>
      <c r="R55" s="41"/>
      <c r="S55" s="122"/>
      <c r="T55" s="36"/>
      <c r="U55" s="37"/>
      <c r="V55" s="37"/>
      <c r="W55" s="37"/>
      <c r="X55" s="37"/>
      <c r="Y55" s="37"/>
      <c r="Z55" s="113"/>
    </row>
    <row r="56" spans="2:37" x14ac:dyDescent="0.2">
      <c r="B56" s="89"/>
      <c r="C56" s="15"/>
      <c r="D56" s="16"/>
      <c r="E56" s="16"/>
      <c r="F56" s="16"/>
      <c r="G56" s="16"/>
      <c r="H56" s="18"/>
      <c r="I56" s="18"/>
      <c r="J56" s="123"/>
      <c r="K56" s="125"/>
      <c r="L56" s="41"/>
      <c r="M56" s="41"/>
      <c r="N56" s="41"/>
      <c r="O56" s="41"/>
      <c r="P56" s="41"/>
      <c r="Q56" s="41"/>
      <c r="R56" s="41"/>
      <c r="S56" s="122"/>
      <c r="T56" s="36"/>
      <c r="U56" s="37"/>
      <c r="V56" s="37"/>
      <c r="W56" s="37"/>
      <c r="X56" s="37"/>
      <c r="Y56" s="37"/>
      <c r="Z56" s="113"/>
    </row>
    <row r="57" spans="2:37" ht="12" customHeight="1" x14ac:dyDescent="0.2">
      <c r="B57" s="91"/>
      <c r="C57" s="16"/>
      <c r="D57" s="18"/>
      <c r="E57" s="12"/>
      <c r="F57" s="17"/>
      <c r="G57" s="17"/>
      <c r="H57" s="18"/>
      <c r="I57" s="18"/>
      <c r="J57" s="123"/>
      <c r="K57" s="125"/>
      <c r="L57" s="41"/>
      <c r="M57" s="41"/>
      <c r="N57" s="41"/>
      <c r="O57" s="41"/>
      <c r="P57" s="41"/>
      <c r="Q57" s="41"/>
      <c r="R57" s="41"/>
      <c r="S57" s="122"/>
      <c r="T57" s="36"/>
      <c r="U57" s="37"/>
      <c r="V57" s="37"/>
      <c r="W57" s="37"/>
      <c r="X57" s="37"/>
      <c r="Y57" s="37"/>
      <c r="Z57" s="113"/>
    </row>
    <row r="58" spans="2:37" ht="12" customHeight="1" x14ac:dyDescent="0.2">
      <c r="B58" s="88"/>
      <c r="C58" s="13"/>
      <c r="D58" s="13"/>
      <c r="E58" s="13"/>
      <c r="F58" s="16"/>
      <c r="G58" s="16"/>
      <c r="H58" s="18"/>
      <c r="I58" s="18"/>
      <c r="J58" s="123"/>
      <c r="K58" s="125"/>
      <c r="L58" s="41"/>
      <c r="M58" s="41"/>
      <c r="N58" s="41"/>
      <c r="O58" s="41"/>
      <c r="P58" s="41"/>
      <c r="Q58" s="41"/>
      <c r="R58" s="41"/>
      <c r="S58" s="122"/>
      <c r="T58" s="36"/>
      <c r="U58" s="37"/>
      <c r="V58" s="37"/>
      <c r="W58" s="37"/>
      <c r="X58" s="37"/>
      <c r="Y58" s="37"/>
      <c r="Z58" s="113"/>
    </row>
    <row r="59" spans="2:37" ht="12" customHeight="1" x14ac:dyDescent="0.2">
      <c r="B59" s="88"/>
      <c r="C59" s="13"/>
      <c r="D59" s="13"/>
      <c r="E59" s="13"/>
      <c r="F59" s="16"/>
      <c r="G59" s="16"/>
      <c r="H59" s="18"/>
      <c r="I59" s="18"/>
      <c r="J59" s="123"/>
      <c r="K59" s="125"/>
      <c r="L59" s="41"/>
      <c r="M59" s="41"/>
      <c r="N59" s="41"/>
      <c r="O59" s="41"/>
      <c r="P59" s="41"/>
      <c r="Q59" s="41"/>
      <c r="R59" s="41"/>
      <c r="S59" s="122"/>
      <c r="T59" s="36"/>
      <c r="U59" s="37"/>
      <c r="V59" s="37"/>
      <c r="W59" s="37"/>
      <c r="X59" s="37"/>
      <c r="Y59" s="37"/>
      <c r="Z59" s="113"/>
    </row>
    <row r="60" spans="2:37" ht="12" customHeight="1" thickBot="1" x14ac:dyDescent="0.25">
      <c r="B60" s="107"/>
      <c r="C60" s="108"/>
      <c r="D60" s="108"/>
      <c r="E60" s="108"/>
      <c r="F60" s="95"/>
      <c r="G60" s="95"/>
      <c r="H60" s="124"/>
      <c r="I60" s="124"/>
      <c r="J60" s="130"/>
      <c r="K60" s="126"/>
      <c r="L60" s="127"/>
      <c r="M60" s="127"/>
      <c r="N60" s="128"/>
      <c r="O60" s="128"/>
      <c r="P60" s="128"/>
      <c r="Q60" s="128"/>
      <c r="R60" s="128"/>
      <c r="S60" s="129"/>
      <c r="T60" s="117"/>
      <c r="U60" s="118"/>
      <c r="V60" s="118"/>
      <c r="W60" s="118"/>
      <c r="X60" s="118"/>
      <c r="Y60" s="118"/>
      <c r="Z60" s="119"/>
    </row>
    <row r="61" spans="2:37" ht="23.25" customHeight="1" thickBot="1" x14ac:dyDescent="0.25">
      <c r="B61" s="169" t="s">
        <v>28</v>
      </c>
      <c r="C61" s="170"/>
      <c r="D61" s="170"/>
      <c r="E61" s="153" t="s">
        <v>11</v>
      </c>
      <c r="F61" s="153"/>
      <c r="G61" s="153"/>
      <c r="H61" s="180" t="s">
        <v>9</v>
      </c>
      <c r="I61" s="180"/>
      <c r="J61" s="179">
        <f>RTD("cqg.rtd", ,"SystemInfo", "Linetime")</f>
        <v>41472.680023148147</v>
      </c>
      <c r="K61" s="179"/>
      <c r="L61" s="139"/>
      <c r="M61" s="138"/>
      <c r="N61" s="138" t="s">
        <v>12</v>
      </c>
      <c r="O61" s="154">
        <f>RTD("cqg.rtd", ,"SystemInfo", "Linetime")+1/24</f>
        <v>41472.721689814811</v>
      </c>
      <c r="P61" s="154"/>
      <c r="Q61" s="138"/>
      <c r="R61" s="140"/>
      <c r="S61" s="138" t="s">
        <v>35</v>
      </c>
      <c r="T61" s="191">
        <f>RTD("cqg.rtd", ,"SystemInfo", "Linetime")+0.25</f>
        <v>41472.930023148147</v>
      </c>
      <c r="U61" s="191"/>
      <c r="V61" s="141"/>
      <c r="W61" s="141" t="s">
        <v>10</v>
      </c>
      <c r="X61" s="191">
        <f>RTD("cqg.rtd", ,"SystemInfo", "Linetime")+14/24</f>
        <v>41473.263356481482</v>
      </c>
      <c r="Y61" s="191"/>
      <c r="Z61" s="142"/>
      <c r="AK61" s="1"/>
    </row>
    <row r="62" spans="2:37" ht="12" customHeight="1" x14ac:dyDescent="0.2">
      <c r="B62" s="13"/>
      <c r="C62" s="13"/>
      <c r="D62" s="13"/>
      <c r="E62" s="13"/>
      <c r="F62" s="16"/>
      <c r="G62" s="16"/>
      <c r="O62" s="16"/>
      <c r="P62" s="16"/>
      <c r="Q62" s="16"/>
      <c r="R62" s="16"/>
      <c r="S62" s="16"/>
    </row>
    <row r="64" spans="2:37" ht="15" customHeight="1" x14ac:dyDescent="0.2"/>
  </sheetData>
  <sheetProtection algorithmName="SHA-512" hashValue="oETlS659NCrV+SvGGHJZN51SSdXGpTsM4wib+PFZFBJBVY1ej+10VH0+blHwnSqE/j5gtgRggZmyHhsP8onDxA==" saltValue="uu1Ak/VQEksem+mB+kvkgw==" spinCount="100000" sheet="1" objects="1" scenarios="1" selectLockedCells="1" selectUnlockedCells="1"/>
  <mergeCells count="26">
    <mergeCell ref="T3:V3"/>
    <mergeCell ref="H14:J15"/>
    <mergeCell ref="P14:R15"/>
    <mergeCell ref="T37:V38"/>
    <mergeCell ref="X61:Y61"/>
    <mergeCell ref="T61:U61"/>
    <mergeCell ref="E61:G61"/>
    <mergeCell ref="O61:P61"/>
    <mergeCell ref="T4:Z5"/>
    <mergeCell ref="K12:S12"/>
    <mergeCell ref="O14:O15"/>
    <mergeCell ref="B12:J12"/>
    <mergeCell ref="B61:D61"/>
    <mergeCell ref="B4:B5"/>
    <mergeCell ref="K4:K5"/>
    <mergeCell ref="B14:B15"/>
    <mergeCell ref="G14:G15"/>
    <mergeCell ref="K14:K15"/>
    <mergeCell ref="J61:K61"/>
    <mergeCell ref="H61:I61"/>
    <mergeCell ref="B3:D3"/>
    <mergeCell ref="E3:G3"/>
    <mergeCell ref="H3:K3"/>
    <mergeCell ref="D4:J5"/>
    <mergeCell ref="L4:S5"/>
    <mergeCell ref="L3:N3"/>
  </mergeCells>
  <conditionalFormatting sqref="H51:H52"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29:F33"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39:H49">
    <cfRule type="expression" dxfId="10" priority="216">
      <formula>$H$52&lt;0</formula>
    </cfRule>
  </conditionalFormatting>
  <conditionalFormatting sqref="H53:H55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H52:H55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H53:H55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H39:H52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B39:B58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D57">
    <cfRule type="expression" dxfId="9" priority="27">
      <formula>$H$52&lt;0</formula>
    </cfRule>
  </conditionalFormatting>
  <conditionalFormatting sqref="D56:D57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D59">
    <cfRule type="expression" dxfId="8" priority="25">
      <formula>$H$52&lt;0</formula>
    </cfRule>
  </conditionalFormatting>
  <conditionalFormatting sqref="D58:D59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D59">
    <cfRule type="expression" dxfId="7" priority="23">
      <formula>$H$52&lt;0</formula>
    </cfRule>
  </conditionalFormatting>
  <conditionalFormatting sqref="D58:D59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D60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D59">
    <cfRule type="expression" dxfId="6" priority="19">
      <formula>$H$52&lt;0</formula>
    </cfRule>
  </conditionalFormatting>
  <conditionalFormatting sqref="D58:D59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D60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D60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D63">
    <cfRule type="expression" dxfId="5" priority="13">
      <formula>$H$52&lt;0</formula>
    </cfRule>
  </conditionalFormatting>
  <conditionalFormatting sqref="D6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D62">
    <cfRule type="expression" dxfId="4" priority="11">
      <formula>$H$52&lt;0</formula>
    </cfRule>
  </conditionalFormatting>
  <conditionalFormatting sqref="D62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N39:N59">
    <cfRule type="colorScale" priority="9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H36 H38">
    <cfRule type="expression" dxfId="3" priority="8">
      <formula>$H$52&lt;0</formula>
    </cfRule>
  </conditionalFormatting>
  <conditionalFormatting sqref="H38 H3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{2F86EF3E-1DE7-4A23-833E-61544272E82E}</x14:id>
        </ext>
      </extLst>
    </cfRule>
  </conditionalFormatting>
  <conditionalFormatting sqref="B36 B3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{317224CA-17BB-4867-A909-F5AA636993C0}</x14:id>
        </ext>
      </extLst>
    </cfRule>
  </conditionalFormatting>
  <conditionalFormatting sqref="H37">
    <cfRule type="expression" dxfId="2" priority="5">
      <formula>$H$52&lt;0</formula>
    </cfRule>
  </conditionalFormatting>
  <conditionalFormatting sqref="H3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{72AD27B0-4BCA-47C0-BE58-931D0D8D1F84}</x14:id>
        </ext>
      </extLst>
    </cfRule>
  </conditionalFormatting>
  <conditionalFormatting sqref="B3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{70F9D303-A236-46C8-9830-EBFFC78F8870}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H51:H52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F29:F33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H53:H55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H52:H55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H53:H55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H39:H52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B39:B58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D56:D57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D58:D59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D58:D59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D60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D58:D59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D60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D60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D63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D62</xm:sqref>
        </x14:conditionalFormatting>
        <x14:conditionalFormatting xmlns:xm="http://schemas.microsoft.com/office/excel/2006/main">
          <x14:cfRule type="dataBar" id="{2F86EF3E-1DE7-4A23-833E-61544272E8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H38 H36</xm:sqref>
        </x14:conditionalFormatting>
        <x14:conditionalFormatting xmlns:xm="http://schemas.microsoft.com/office/excel/2006/main">
          <x14:cfRule type="dataBar" id="{317224CA-17BB-4867-A909-F5AA636993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B36 B38</xm:sqref>
        </x14:conditionalFormatting>
        <x14:conditionalFormatting xmlns:xm="http://schemas.microsoft.com/office/excel/2006/main">
          <x14:cfRule type="dataBar" id="{72AD27B0-4BCA-47C0-BE58-931D0D8D1F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H37</xm:sqref>
        </x14:conditionalFormatting>
        <x14:conditionalFormatting xmlns:xm="http://schemas.microsoft.com/office/excel/2006/main">
          <x14:cfRule type="dataBar" id="{70F9D303-A236-46C8-9830-EBFFC78F88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B37</xm:sqref>
        </x14:conditionalFormatting>
        <x14:conditionalFormatting xmlns:xm="http://schemas.microsoft.com/office/excel/2006/main">
          <x14:cfRule type="expression" priority="2" id="{55A04DCF-E408-451D-9A7B-87A7FF33EDDE}">
            <xm:f>Charts!$K$2=1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FFFF00"/>
                  </stop>
                  <stop position="1">
                    <color theme="1"/>
                  </stop>
                </gradientFill>
              </fill>
            </x14:dxf>
          </x14:cfRule>
          <xm:sqref>D4:J5</xm:sqref>
        </x14:conditionalFormatting>
        <x14:conditionalFormatting xmlns:xm="http://schemas.microsoft.com/office/excel/2006/main">
          <x14:cfRule type="expression" priority="1" id="{0D42350E-6741-45F5-B3FF-057773541744}">
            <xm:f>Charts!$K$2=1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FFFF00"/>
                  </stop>
                  <stop position="1">
                    <color theme="1"/>
                  </stop>
                </gradientFill>
              </fill>
            </x14:dxf>
          </x14:cfRule>
          <xm:sqref>L4:S5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46"/>
  <sheetViews>
    <sheetView topLeftCell="T1" workbookViewId="0">
      <selection activeCell="AL10" sqref="AL10"/>
    </sheetView>
  </sheetViews>
  <sheetFormatPr defaultColWidth="9" defaultRowHeight="14.25" x14ac:dyDescent="0.2"/>
  <cols>
    <col min="1" max="14" width="9" style="3"/>
    <col min="15" max="15" width="10.75" style="3" customWidth="1"/>
    <col min="16" max="17" width="9" style="3"/>
    <col min="18" max="18" width="17.25" style="3" customWidth="1"/>
    <col min="19" max="20" width="9" style="3"/>
    <col min="21" max="21" width="17.75" style="3" customWidth="1"/>
    <col min="22" max="22" width="9" style="3"/>
    <col min="23" max="23" width="13" style="3" customWidth="1"/>
    <col min="24" max="31" width="9" style="3"/>
    <col min="32" max="32" width="8.25" style="3" customWidth="1"/>
    <col min="33" max="16384" width="9" style="3"/>
  </cols>
  <sheetData>
    <row r="1" spans="1:42" x14ac:dyDescent="0.2">
      <c r="A1" s="2"/>
      <c r="B1" s="2"/>
      <c r="C1" s="2"/>
      <c r="P1" s="4"/>
      <c r="Q1" s="5" t="str">
        <f>Main!B4</f>
        <v>FVS</v>
      </c>
      <c r="R1" s="6" t="s">
        <v>2</v>
      </c>
      <c r="S1" s="6" t="s">
        <v>0</v>
      </c>
      <c r="T1" s="6" t="s">
        <v>1</v>
      </c>
      <c r="U1" s="4" t="s">
        <v>3</v>
      </c>
      <c r="V1" s="4">
        <f>IF(ISERROR(RTD("cqg.rtd",,"StudyData","V2TX","Bar",,"Close","D","0",,,,,"T")-RTD("cqg.rtd",,"StudyData","V2TX","Bar",,"Close","D","-1",,,,,"T")),NA(),RTD("cqg.rtd",,"StudyData","V2TX","Bar",,"Close","D","0",,,,,"T")-RTD("cqg.rtd",,"StudyData","V2TX","Bar",,"Close","D","-1",,,,,"T"))</f>
        <v>-0.75999999999999801</v>
      </c>
      <c r="W1" s="6"/>
      <c r="X1" s="6"/>
      <c r="Y1" s="6"/>
      <c r="Z1" s="6"/>
      <c r="AA1" s="4" t="s">
        <v>4</v>
      </c>
      <c r="AB1" s="4" t="s">
        <v>4</v>
      </c>
      <c r="AC1" s="7"/>
      <c r="AD1" s="4" t="s">
        <v>4</v>
      </c>
      <c r="AF1" s="3">
        <f>RTD("cqg.rtd", ,"ContractData", "V2TX", "LastPrice",,"T")</f>
        <v>18.48</v>
      </c>
      <c r="AH1" s="3" t="s">
        <v>21</v>
      </c>
      <c r="AJ1" s="3">
        <f>RTD("cqg.rtd", ,"ContractData","V2TX", "Settlement",,"T")</f>
        <v>18.48</v>
      </c>
      <c r="AL1" s="10">
        <f>IF(AJ1="",NA(),AJ1)</f>
        <v>18.48</v>
      </c>
    </row>
    <row r="2" spans="1:42" x14ac:dyDescent="0.2">
      <c r="A2" s="2"/>
      <c r="B2" s="2"/>
      <c r="C2" s="8"/>
      <c r="N2" s="62">
        <f ca="1">TODAY()</f>
        <v>41472</v>
      </c>
      <c r="O2" s="62">
        <f>RTD("cqg.rtd", ,"ContractData",Q2, "ExpirationDate")</f>
        <v>41472</v>
      </c>
      <c r="P2" s="63">
        <f ca="1">O2-N2</f>
        <v>0</v>
      </c>
      <c r="Q2" s="9" t="str">
        <f>RTD("cqg.rtd", ,"ContractData", $Q$1&amp;"?"&amp;R35, "Symbol")</f>
        <v>FVSN3</v>
      </c>
      <c r="R2" s="7">
        <f>RTD("cqg.rtd", ,"ContractData", Q2, $R$1,,"T")</f>
        <v>19.84</v>
      </c>
      <c r="S2" s="7" t="str">
        <f>RTD("cqg.rtd", ,"ContractData", Q2,$S$1,,"T")</f>
        <v/>
      </c>
      <c r="T2" s="7" t="str">
        <f>RTD("cqg.rtd", ,"ContractData", Q2,$T$1,,"T")</f>
        <v/>
      </c>
      <c r="U2" s="7">
        <f>RTD("cqg.rtd", ,"ContractData", "F."&amp;$Q$1&amp;"?1", $U$1,,"T")</f>
        <v>0.64000000000000057</v>
      </c>
      <c r="V2" s="7">
        <f>U2</f>
        <v>0.64000000000000057</v>
      </c>
      <c r="W2" s="7"/>
      <c r="X2" s="7"/>
      <c r="Y2" s="7"/>
      <c r="Z2" s="7"/>
      <c r="AA2" s="7">
        <f>IF(OR(W2="",W2&lt;Y2,W2&gt;Z2),(Y2+Z2)/2,W2)</f>
        <v>0</v>
      </c>
      <c r="AB2" s="7">
        <f t="shared" ref="AB2:AB7" si="0">IF(OR(S2="",T2=""),R2,(IF(OR(R2="",R2&lt;S2,R2&gt;T2),(S2+T2)/2,R2)))</f>
        <v>19.84</v>
      </c>
      <c r="AC2" s="7">
        <f>IF(ISERROR(IF(OR(R2="",R2&lt;S2,R2&gt;T2),(S2+T2)/2,R2)),R2,IF(OR(R2="",R2&lt;S2,R2&gt;T2),(S2+T2)/2,R2))</f>
        <v>19.84</v>
      </c>
      <c r="AD2" s="7">
        <f>IF(OR(Y2="",Z2=""),W2,(IF(OR(W2="",W2&lt;Y2,W2&gt;Z2),(Y2+Z2)/2,W2)))</f>
        <v>0</v>
      </c>
      <c r="AF2" s="3">
        <f>IF(ISERROR(AC2),NA(),AC2)</f>
        <v>19.84</v>
      </c>
      <c r="AG2" s="3">
        <f t="shared" ref="AG2:AG9" si="1">IF(AD2="",NA(),AD2)</f>
        <v>0</v>
      </c>
      <c r="AH2" s="3" t="str">
        <f>RIGHT(RTD("cqg.rtd", ,"ContractData",Q2, "LongDescription"),6)</f>
        <v>Jul 13</v>
      </c>
      <c r="AJ2" s="10">
        <f>RTD("cqg.rtd", ,"ContractData",Q2, "Settlement",,"T")</f>
        <v>19.84</v>
      </c>
      <c r="AL2" s="10">
        <f>IF(AJ2="",NA(),AJ2)</f>
        <v>19.84</v>
      </c>
      <c r="AN2" s="3">
        <f>RTD("cqg.rtd",,"StudyData",Q2, "VolOI","OIType=Contract","OI","D","-1","all",,,,"T")</f>
        <v>18029</v>
      </c>
      <c r="AO2" s="3">
        <f>RTD("cqg.rtd",,"StudyData",Q2, "VolOI","OIType=Contract","OI","D","-2","all",,,,"T")</f>
        <v>21951</v>
      </c>
      <c r="AP2" s="3">
        <f>AN2-AO2</f>
        <v>-3922</v>
      </c>
    </row>
    <row r="3" spans="1:42" x14ac:dyDescent="0.2">
      <c r="A3" s="2"/>
      <c r="B3" s="2"/>
      <c r="C3" s="8"/>
      <c r="N3" s="62">
        <f t="shared" ref="N3:N9" ca="1" si="2">TODAY()</f>
        <v>41472</v>
      </c>
      <c r="O3" s="62">
        <f>RTD("cqg.rtd", ,"ContractData",Q3, "ExpirationDate")</f>
        <v>41507</v>
      </c>
      <c r="P3" s="63">
        <f t="shared" ref="P3:P9" ca="1" si="3">O3-N3</f>
        <v>35</v>
      </c>
      <c r="Q3" s="9" t="str">
        <f>RTD("cqg.rtd", ,"ContractData", $Q$1&amp;"?"&amp;R36, "Symbol")</f>
        <v>FVSQ3</v>
      </c>
      <c r="R3" s="7">
        <f>RTD("cqg.rtd", ,"ContractData", Q3, $R$1,,"T")</f>
        <v>20.55</v>
      </c>
      <c r="S3" s="7" t="str">
        <f>RTD("cqg.rtd", ,"ContractData", Q3,$S$1,,"T")</f>
        <v/>
      </c>
      <c r="T3" s="7" t="str">
        <f>RTD("cqg.rtd", ,"ContractData", Q3,$T$1,,"T")</f>
        <v/>
      </c>
      <c r="U3" s="7">
        <f>RTD("cqg.rtd", ,"ContractData", "F."&amp;$Q$1&amp;"?2",  $U$1,,"T")</f>
        <v>-0.25</v>
      </c>
      <c r="V3" s="7">
        <f t="shared" ref="V3:V9" si="4">U3</f>
        <v>-0.25</v>
      </c>
      <c r="W3" s="7"/>
      <c r="X3" s="7"/>
      <c r="Y3" s="7"/>
      <c r="Z3" s="7"/>
      <c r="AA3" s="7">
        <f t="shared" ref="AA3:AA9" si="5">IF(OR(W3="",W3&lt;Y3,W3&gt;Z3),(Y3+Z3)/2,W3)</f>
        <v>0</v>
      </c>
      <c r="AB3" s="7">
        <f t="shared" si="0"/>
        <v>20.55</v>
      </c>
      <c r="AC3" s="7">
        <f t="shared" ref="AC3:AC9" si="6">IF(ISERROR(IF(OR(R3="",R3&lt;S3,R3&gt;T3),(S3+T3)/2,R3)),R3,IF(OR(R3="",R3&lt;S3,R3&gt;T3),(S3+T3)/2,R3))</f>
        <v>20.55</v>
      </c>
      <c r="AD3" s="7">
        <f>IF(OR(Y3="",Z3=""),W3,(IF(OR(W3="",W3&lt;Y3,W3&gt;Z3),(Y3+Z3)/2,W3)))</f>
        <v>0</v>
      </c>
      <c r="AF3" s="3">
        <f t="shared" ref="AF3:AF8" si="7">IF(ISERROR(AC3),NA(),AC3)</f>
        <v>20.55</v>
      </c>
      <c r="AG3" s="3">
        <f t="shared" si="1"/>
        <v>0</v>
      </c>
      <c r="AH3" s="3" t="str">
        <f>RIGHT(RTD("cqg.rtd", ,"ContractData",Q3, "LongDescription"),6)</f>
        <v>Aug 13</v>
      </c>
      <c r="AJ3" s="10">
        <f>RTD("cqg.rtd", ,"ContractData",Q3, "Settlement",,"T")</f>
        <v>20.55</v>
      </c>
      <c r="AL3" s="10">
        <f t="shared" ref="AL3:AL8" si="8">IF(AJ3="",NA(),AJ3)</f>
        <v>20.55</v>
      </c>
      <c r="AN3" s="3">
        <f>RTD("cqg.rtd",,"StudyData",Q3, "VolOI","OIType=Contract","OI","D","-1","all",,,,"T")</f>
        <v>37431</v>
      </c>
      <c r="AO3" s="3">
        <f>RTD("cqg.rtd",,"StudyData",Q3, "VolOI","OIType=Contract","OI","D","-2","all",,,,"T")</f>
        <v>36067</v>
      </c>
      <c r="AP3" s="3">
        <f t="shared" ref="AP3:AP9" si="9">AN3-AO3</f>
        <v>1364</v>
      </c>
    </row>
    <row r="4" spans="1:42" x14ac:dyDescent="0.2">
      <c r="A4" s="2"/>
      <c r="B4" s="2"/>
      <c r="C4" s="8"/>
      <c r="N4" s="62">
        <f t="shared" ca="1" si="2"/>
        <v>41472</v>
      </c>
      <c r="O4" s="62">
        <f>RTD("cqg.rtd", ,"ContractData",Q4, "ExpirationDate")</f>
        <v>41535</v>
      </c>
      <c r="P4" s="63">
        <f t="shared" ca="1" si="3"/>
        <v>63</v>
      </c>
      <c r="Q4" s="9" t="str">
        <f>RTD("cqg.rtd", ,"ContractData", $Q$1&amp;"?"&amp;R37, "Symbol")</f>
        <v>FVSU3</v>
      </c>
      <c r="R4" s="7">
        <f>RTD("cqg.rtd", ,"ContractData", Q4, $R$1,,"T")</f>
        <v>21.55</v>
      </c>
      <c r="S4" s="7" t="str">
        <f>RTD("cqg.rtd", ,"ContractData", Q4,$S$1,,"T")</f>
        <v/>
      </c>
      <c r="T4" s="7" t="str">
        <f>RTD("cqg.rtd", ,"ContractData", Q4,$T$1,,"T")</f>
        <v/>
      </c>
      <c r="U4" s="7">
        <f>RTD("cqg.rtd", ,"ContractData", "F."&amp;$Q$1&amp;"?3",  $U$1,,"T")</f>
        <v>5.0000000000000711E-2</v>
      </c>
      <c r="V4" s="7">
        <f t="shared" si="4"/>
        <v>5.0000000000000711E-2</v>
      </c>
      <c r="W4" s="7"/>
      <c r="X4" s="7"/>
      <c r="Y4" s="7"/>
      <c r="Z4" s="7"/>
      <c r="AA4" s="7">
        <f t="shared" si="5"/>
        <v>0</v>
      </c>
      <c r="AB4" s="7">
        <f t="shared" si="0"/>
        <v>21.55</v>
      </c>
      <c r="AC4" s="7">
        <f t="shared" si="6"/>
        <v>21.55</v>
      </c>
      <c r="AD4" s="7">
        <f t="shared" ref="AD4:AD9" si="10">IF(OR(Y4="",Z4=""),W4,(IF(OR(W4="",W4&lt;Y4,W4&gt;Z4),(Y4+Z4)/2,W4)))</f>
        <v>0</v>
      </c>
      <c r="AF4" s="3">
        <f t="shared" si="7"/>
        <v>21.55</v>
      </c>
      <c r="AG4" s="3">
        <f t="shared" si="1"/>
        <v>0</v>
      </c>
      <c r="AH4" s="3" t="str">
        <f>RIGHT(RTD("cqg.rtd", ,"ContractData",Q4, "LongDescription"),6)</f>
        <v>Sep 13</v>
      </c>
      <c r="AJ4" s="10">
        <f>RTD("cqg.rtd", ,"ContractData",Q4, "Settlement",,"T")</f>
        <v>21.55</v>
      </c>
      <c r="AL4" s="10">
        <f t="shared" si="8"/>
        <v>21.55</v>
      </c>
      <c r="AN4" s="3">
        <f>RTD("cqg.rtd",,"StudyData",Q4, "VolOI","OIType=Contract","OI","D","-1","all",,,,"T")</f>
        <v>20125</v>
      </c>
      <c r="AO4" s="3">
        <f>RTD("cqg.rtd",,"StudyData",Q4, "VolOI","OIType=Contract","OI","D","-2","all",,,,"T")</f>
        <v>18497</v>
      </c>
      <c r="AP4" s="3">
        <f t="shared" si="9"/>
        <v>1628</v>
      </c>
    </row>
    <row r="5" spans="1:42" x14ac:dyDescent="0.2">
      <c r="A5" s="2"/>
      <c r="B5" s="2"/>
      <c r="C5" s="8"/>
      <c r="N5" s="62">
        <f t="shared" ca="1" si="2"/>
        <v>41472</v>
      </c>
      <c r="O5" s="62">
        <f>RTD("cqg.rtd", ,"ContractData",Q5, "ExpirationDate")</f>
        <v>41563</v>
      </c>
      <c r="P5" s="63">
        <f t="shared" ca="1" si="3"/>
        <v>91</v>
      </c>
      <c r="Q5" s="9" t="str">
        <f>RTD("cqg.rtd", ,"ContractData", $Q$1&amp;"?"&amp;R38, "Symbol")</f>
        <v>FVSV3</v>
      </c>
      <c r="R5" s="7">
        <f>RTD("cqg.rtd", ,"ContractData", Q5, $R$1,,"T")</f>
        <v>22.1</v>
      </c>
      <c r="S5" s="7" t="str">
        <f>RTD("cqg.rtd", ,"ContractData", Q5,$S$1,,"T")</f>
        <v/>
      </c>
      <c r="T5" s="7" t="str">
        <f>RTD("cqg.rtd", ,"ContractData", Q5,$T$1,,"T")</f>
        <v/>
      </c>
      <c r="U5" s="7">
        <f>RTD("cqg.rtd", ,"ContractData", "F."&amp;$Q$1&amp;"?4",  $U$1,,"T")</f>
        <v>-5.0000000000000711E-2</v>
      </c>
      <c r="V5" s="7">
        <f t="shared" si="4"/>
        <v>-5.0000000000000711E-2</v>
      </c>
      <c r="W5" s="7"/>
      <c r="X5" s="7"/>
      <c r="Y5" s="7"/>
      <c r="Z5" s="7"/>
      <c r="AA5" s="7">
        <f t="shared" si="5"/>
        <v>0</v>
      </c>
      <c r="AB5" s="7">
        <f t="shared" si="0"/>
        <v>22.1</v>
      </c>
      <c r="AC5" s="7">
        <f t="shared" si="6"/>
        <v>22.1</v>
      </c>
      <c r="AD5" s="7">
        <f t="shared" si="10"/>
        <v>0</v>
      </c>
      <c r="AF5" s="3">
        <f t="shared" si="7"/>
        <v>22.1</v>
      </c>
      <c r="AG5" s="3">
        <f t="shared" si="1"/>
        <v>0</v>
      </c>
      <c r="AH5" s="3" t="str">
        <f>RIGHT(RTD("cqg.rtd", ,"ContractData",Q5, "LongDescription"),6)</f>
        <v>Oct 13</v>
      </c>
      <c r="AJ5" s="10">
        <f>RTD("cqg.rtd", ,"ContractData",Q5, "Settlement",,"T")</f>
        <v>22.1</v>
      </c>
      <c r="AL5" s="10">
        <f t="shared" si="8"/>
        <v>22.1</v>
      </c>
      <c r="AN5" s="3">
        <f>RTD("cqg.rtd",,"StudyData",Q5, "VolOI","OIType=Contract","OI","D","-1","all",,,,"T")</f>
        <v>11896</v>
      </c>
      <c r="AO5" s="3">
        <f>RTD("cqg.rtd",,"StudyData",Q5, "VolOI","OIType=Contract","OI","D","-2","all",,,,"T")</f>
        <v>11227</v>
      </c>
      <c r="AP5" s="3">
        <f t="shared" si="9"/>
        <v>669</v>
      </c>
    </row>
    <row r="6" spans="1:42" x14ac:dyDescent="0.2">
      <c r="A6" s="2"/>
      <c r="B6" s="2"/>
      <c r="C6" s="8"/>
      <c r="N6" s="62">
        <f t="shared" ca="1" si="2"/>
        <v>41472</v>
      </c>
      <c r="O6" s="62">
        <f>RTD("cqg.rtd", ,"ContractData",Q6, "ExpirationDate")</f>
        <v>41598</v>
      </c>
      <c r="P6" s="63">
        <f t="shared" ca="1" si="3"/>
        <v>126</v>
      </c>
      <c r="Q6" s="9" t="str">
        <f>RTD("cqg.rtd", ,"ContractData", $Q$1&amp;"?"&amp;R39, "Symbol")</f>
        <v>FVSX3</v>
      </c>
      <c r="R6" s="7">
        <f>RTD("cqg.rtd", ,"ContractData", Q6, $R$1,,"T")</f>
        <v>22.7</v>
      </c>
      <c r="S6" s="7" t="str">
        <f>RTD("cqg.rtd", ,"ContractData", Q6,$S$1,,"T")</f>
        <v/>
      </c>
      <c r="T6" s="7" t="str">
        <f>RTD("cqg.rtd", ,"ContractData", Q6,$T$1,,"T")</f>
        <v/>
      </c>
      <c r="U6" s="7">
        <f>RTD("cqg.rtd", ,"ContractData", "F."&amp;$Q$1&amp;"?5",  $U$1,,"T")</f>
        <v>-0.10000000000000142</v>
      </c>
      <c r="V6" s="7">
        <f t="shared" si="4"/>
        <v>-0.10000000000000142</v>
      </c>
      <c r="W6" s="7"/>
      <c r="X6" s="7"/>
      <c r="Y6" s="7"/>
      <c r="Z6" s="7"/>
      <c r="AA6" s="7">
        <f t="shared" si="5"/>
        <v>0</v>
      </c>
      <c r="AB6" s="7">
        <f t="shared" si="0"/>
        <v>22.7</v>
      </c>
      <c r="AC6" s="7">
        <f t="shared" si="6"/>
        <v>22.7</v>
      </c>
      <c r="AD6" s="7">
        <f t="shared" si="10"/>
        <v>0</v>
      </c>
      <c r="AF6" s="3">
        <f t="shared" si="7"/>
        <v>22.7</v>
      </c>
      <c r="AG6" s="3">
        <f t="shared" si="1"/>
        <v>0</v>
      </c>
      <c r="AH6" s="3" t="str">
        <f>RIGHT(RTD("cqg.rtd", ,"ContractData",Q6, "LongDescription"),6)</f>
        <v>Nov 13</v>
      </c>
      <c r="AJ6" s="10">
        <f>RTD("cqg.rtd", ,"ContractData",Q6, "Settlement",,"T")</f>
        <v>22.7</v>
      </c>
      <c r="AL6" s="10">
        <f t="shared" si="8"/>
        <v>22.7</v>
      </c>
      <c r="AN6" s="3">
        <f>RTD("cqg.rtd",,"StudyData",Q6, "VolOI","OIType=Contract","OI","D","-1","all",,,,"T")</f>
        <v>21006</v>
      </c>
      <c r="AO6" s="3">
        <f>RTD("cqg.rtd",,"StudyData",Q6, "VolOI","OIType=Contract","OI","D","-2","all",,,,"T")</f>
        <v>20880</v>
      </c>
      <c r="AP6" s="3">
        <f t="shared" si="9"/>
        <v>126</v>
      </c>
    </row>
    <row r="7" spans="1:42" x14ac:dyDescent="0.2">
      <c r="A7" s="2"/>
      <c r="B7" s="2"/>
      <c r="C7" s="8"/>
      <c r="N7" s="62">
        <f t="shared" ca="1" si="2"/>
        <v>41472</v>
      </c>
      <c r="O7" s="62">
        <f>RTD("cqg.rtd", ,"ContractData",Q7, "ExpirationDate")</f>
        <v>41626</v>
      </c>
      <c r="P7" s="63">
        <f t="shared" ca="1" si="3"/>
        <v>154</v>
      </c>
      <c r="Q7" s="9" t="str">
        <f>RTD("cqg.rtd", ,"ContractData", $Q$1&amp;"?"&amp;R40, "Symbol")</f>
        <v>FVSZ3</v>
      </c>
      <c r="R7" s="7">
        <f>RTD("cqg.rtd", ,"ContractData", Q7, $R$1,,"T")</f>
        <v>22</v>
      </c>
      <c r="S7" s="7" t="str">
        <f>RTD("cqg.rtd", ,"ContractData", Q7,$S$1,,"T")</f>
        <v/>
      </c>
      <c r="T7" s="7" t="str">
        <f>RTD("cqg.rtd", ,"ContractData", Q7,$T$1,,"T")</f>
        <v/>
      </c>
      <c r="U7" s="7">
        <f>RTD("cqg.rtd", ,"ContractData", "F."&amp;$Q$1&amp;"?6", $U$1,,"T")</f>
        <v>5.0000000000000711E-2</v>
      </c>
      <c r="V7" s="7">
        <f t="shared" si="4"/>
        <v>5.0000000000000711E-2</v>
      </c>
      <c r="W7" s="7"/>
      <c r="X7" s="7"/>
      <c r="Y7" s="7"/>
      <c r="Z7" s="7"/>
      <c r="AA7" s="7">
        <f t="shared" si="5"/>
        <v>0</v>
      </c>
      <c r="AB7" s="7">
        <f t="shared" si="0"/>
        <v>22</v>
      </c>
      <c r="AC7" s="7">
        <f t="shared" si="6"/>
        <v>22</v>
      </c>
      <c r="AD7" s="7">
        <f t="shared" si="10"/>
        <v>0</v>
      </c>
      <c r="AF7" s="3">
        <f t="shared" si="7"/>
        <v>22</v>
      </c>
      <c r="AG7" s="3">
        <f t="shared" si="1"/>
        <v>0</v>
      </c>
      <c r="AH7" s="3" t="str">
        <f>RIGHT(RTD("cqg.rtd", ,"ContractData",Q7, "LongDescription"),6)</f>
        <v>Dec 13</v>
      </c>
      <c r="AJ7" s="10">
        <f>RTD("cqg.rtd", ,"ContractData",Q7, "Settlement",,"T")</f>
        <v>22</v>
      </c>
      <c r="AL7" s="10">
        <f t="shared" si="8"/>
        <v>22</v>
      </c>
      <c r="AN7" s="3">
        <f>RTD("cqg.rtd",,"StudyData",Q7, "VolOI","OIType=Contract","OI","D","-1","all",,,,"T")</f>
        <v>45357</v>
      </c>
      <c r="AO7" s="3">
        <f>RTD("cqg.rtd",,"StudyData",Q7, "VolOI","OIType=Contract","OI","D","-2","all",,,,"T")</f>
        <v>44697</v>
      </c>
      <c r="AP7" s="3">
        <f t="shared" si="9"/>
        <v>660</v>
      </c>
    </row>
    <row r="8" spans="1:42" x14ac:dyDescent="0.2">
      <c r="A8" s="2"/>
      <c r="B8" s="2"/>
      <c r="C8" s="8"/>
      <c r="N8" s="62">
        <f t="shared" ca="1" si="2"/>
        <v>41472</v>
      </c>
      <c r="O8" s="62">
        <f>RTD("cqg.rtd", ,"ContractData",Q8, "ExpirationDate")</f>
        <v>41661</v>
      </c>
      <c r="P8" s="63">
        <f t="shared" ca="1" si="3"/>
        <v>189</v>
      </c>
      <c r="Q8" s="9" t="str">
        <f>RTD("cqg.rtd", ,"ContractData", $Q$1&amp;"?"&amp;R41, "Symbol")</f>
        <v>FVSF4</v>
      </c>
      <c r="R8" s="7">
        <f>RTD("cqg.rtd", ,"ContractData", Q8, $R$1,,"T")</f>
        <v>23.900000000000002</v>
      </c>
      <c r="S8" s="7" t="str">
        <f>RTD("cqg.rtd", ,"ContractData", Q8,$S$1,,"T")</f>
        <v/>
      </c>
      <c r="T8" s="7" t="str">
        <f>RTD("cqg.rtd", ,"ContractData", Q8,$T$1,,"T")</f>
        <v/>
      </c>
      <c r="U8" s="7">
        <f>RTD("cqg.rtd", ,"ContractData", "F."&amp;$Q$1&amp;"?7", $U$1,,"T")</f>
        <v>-4.9999999999997158E-2</v>
      </c>
      <c r="V8" s="7">
        <f t="shared" si="4"/>
        <v>-4.9999999999997158E-2</v>
      </c>
      <c r="W8" s="7"/>
      <c r="X8" s="7"/>
      <c r="Y8" s="7"/>
      <c r="Z8" s="7"/>
      <c r="AA8" s="7">
        <f t="shared" si="5"/>
        <v>0</v>
      </c>
      <c r="AB8" s="7">
        <f t="shared" ref="AB8:AB9" si="11">IF(OR(S8="",T8=""),R8,(IF(OR(R8="",R8&lt;S8,R8&gt;T8),(S8+T8)/2,R8)))</f>
        <v>23.900000000000002</v>
      </c>
      <c r="AC8" s="7">
        <f t="shared" si="6"/>
        <v>23.900000000000002</v>
      </c>
      <c r="AD8" s="7">
        <f t="shared" si="10"/>
        <v>0</v>
      </c>
      <c r="AF8" s="3">
        <f t="shared" si="7"/>
        <v>23.900000000000002</v>
      </c>
      <c r="AG8" s="3">
        <f t="shared" si="1"/>
        <v>0</v>
      </c>
      <c r="AH8" s="3" t="str">
        <f>RIGHT(RTD("cqg.rtd", ,"ContractData",Q8, "LongDescription"),6)</f>
        <v>Jan 14</v>
      </c>
      <c r="AJ8" s="10">
        <f>RTD("cqg.rtd", ,"ContractData",Q8, "Settlement",,"T")</f>
        <v>23.900000000000002</v>
      </c>
      <c r="AL8" s="10">
        <f t="shared" si="8"/>
        <v>23.900000000000002</v>
      </c>
      <c r="AN8" s="3">
        <f>RTD("cqg.rtd",,"StudyData",Q8, "VolOI","OIType=Contract","OI","D","-1","all",,,,"T")</f>
        <v>8064</v>
      </c>
      <c r="AO8" s="3">
        <f>RTD("cqg.rtd",,"StudyData",Q8, "VolOI","OIType=Contract","OI","D","-2","all",,,,"T")</f>
        <v>8020</v>
      </c>
      <c r="AP8" s="3">
        <f t="shared" si="9"/>
        <v>44</v>
      </c>
    </row>
    <row r="9" spans="1:42" x14ac:dyDescent="0.2">
      <c r="A9" s="2"/>
      <c r="B9" s="2"/>
      <c r="C9" s="8"/>
      <c r="N9" s="62">
        <f t="shared" ca="1" si="2"/>
        <v>41472</v>
      </c>
      <c r="O9" s="62">
        <f>RTD("cqg.rtd", ,"ContractData",Q9, "ExpirationDate")</f>
        <v>41689</v>
      </c>
      <c r="P9" s="63">
        <f t="shared" ca="1" si="3"/>
        <v>217</v>
      </c>
      <c r="Q9" s="9" t="str">
        <f>IF(LEFT(RTD("cqg.rtd", ,"ContractData", $Q$1&amp;"?"&amp;R42, "Symbol"),3)="768",NA(),RTD("cqg.rtd", ,"ContractData", $Q$1&amp;"?"&amp;R42, "Symbol"))</f>
        <v>FVSG4</v>
      </c>
      <c r="R9" s="7">
        <f>RTD("cqg.rtd", ,"ContractData", Q9, $R$1,,"T")</f>
        <v>24.3</v>
      </c>
      <c r="S9" s="7" t="str">
        <f>RTD("cqg.rtd", ,"ContractData", Q9,$S$1,,"T")</f>
        <v/>
      </c>
      <c r="T9" s="7" t="str">
        <f>RTD("cqg.rtd", ,"ContractData", Q9,$T$1,,"T")</f>
        <v/>
      </c>
      <c r="U9" s="7">
        <f>RTD("cqg.rtd", ,"ContractData", "F."&amp;$Q$1&amp;"?8", $U$1,,"T")</f>
        <v>-5.0000000000000711E-2</v>
      </c>
      <c r="V9" s="7">
        <f t="shared" si="4"/>
        <v>-5.0000000000000711E-2</v>
      </c>
      <c r="W9" s="7"/>
      <c r="X9" s="7"/>
      <c r="Y9" s="7"/>
      <c r="Z9" s="7"/>
      <c r="AA9" s="7">
        <f t="shared" si="5"/>
        <v>0</v>
      </c>
      <c r="AB9" s="7">
        <f t="shared" si="11"/>
        <v>24.3</v>
      </c>
      <c r="AC9" s="7">
        <f t="shared" si="6"/>
        <v>24.3</v>
      </c>
      <c r="AD9" s="7">
        <f t="shared" si="10"/>
        <v>0</v>
      </c>
      <c r="AF9" s="3">
        <f>IF(LEFT(IF(ISERROR(AC9),NA(),AC9),3)="Obl",NA(),IF(ISERROR(AC9),NA(),AC9))</f>
        <v>24.3</v>
      </c>
      <c r="AG9" s="3">
        <f t="shared" si="1"/>
        <v>0</v>
      </c>
      <c r="AH9" s="3" t="str">
        <f>RIGHT(RTD("cqg.rtd", ,"ContractData",Q9, "LongDescription"),6)</f>
        <v>Feb 14</v>
      </c>
      <c r="AJ9" s="10">
        <f>RTD("cqg.rtd", ,"ContractData",Q9, "Settlement",,"T")</f>
        <v>24.3</v>
      </c>
      <c r="AL9" s="10">
        <f>IF(LEFT(IF(AJ9="",NA(),AJ9),3)="Obl",NA(),IF(AJ9="",NA(),AJ9))</f>
        <v>24.3</v>
      </c>
      <c r="AN9" s="3">
        <f>RTD("cqg.rtd",,"StudyData",Q9, "VolOI","OIType=Contract","OI","D","-1","all",,,,"T")</f>
        <v>1052</v>
      </c>
      <c r="AO9" s="3">
        <f>RTD("cqg.rtd",,"StudyData",Q9, "VolOI","OIType=Contract","OI","D","-2","all",,,,"T")</f>
        <v>752</v>
      </c>
      <c r="AP9" s="3">
        <f t="shared" si="9"/>
        <v>300</v>
      </c>
    </row>
    <row r="10" spans="1:42" x14ac:dyDescent="0.2">
      <c r="A10" s="2"/>
      <c r="B10" s="2"/>
      <c r="C10" s="8"/>
      <c r="P10" s="4"/>
      <c r="Q10" s="9"/>
      <c r="R10" s="7"/>
      <c r="S10" s="7"/>
      <c r="T10" s="7"/>
      <c r="U10" s="7"/>
      <c r="V10" s="4"/>
      <c r="W10" s="7"/>
      <c r="X10" s="7"/>
      <c r="Y10" s="7"/>
      <c r="Z10" s="7"/>
      <c r="AA10" s="7"/>
      <c r="AB10" s="7"/>
      <c r="AC10" s="7"/>
      <c r="AD10" s="7"/>
    </row>
    <row r="11" spans="1:42" x14ac:dyDescent="0.2">
      <c r="A11" s="2"/>
      <c r="B11" s="2"/>
      <c r="C11" s="8"/>
      <c r="P11" s="4"/>
      <c r="Q11" s="9">
        <f>IF(ISNUMBER(Q9),1,0)</f>
        <v>0</v>
      </c>
      <c r="R11" s="7"/>
      <c r="S11" s="7"/>
      <c r="T11" s="7"/>
      <c r="U11" s="7"/>
      <c r="V11" s="4"/>
      <c r="W11" s="7"/>
      <c r="X11" s="7"/>
      <c r="Y11" s="7"/>
      <c r="Z11" s="7"/>
      <c r="AA11" s="7"/>
      <c r="AB11" s="7"/>
      <c r="AC11" s="7"/>
      <c r="AD11" s="7"/>
    </row>
    <row r="12" spans="1:42" x14ac:dyDescent="0.2">
      <c r="A12" s="2"/>
      <c r="B12" s="2"/>
      <c r="C12" s="8"/>
      <c r="P12" s="4"/>
      <c r="Q12" s="9" t="str">
        <f>RTD("cqg.rtd", ,"ContractData", $Q$1&amp;"?"&amp;R42, "Symbol")</f>
        <v>FVSG4</v>
      </c>
      <c r="R12" s="7"/>
      <c r="S12" s="7"/>
      <c r="T12" s="7"/>
      <c r="U12" s="7"/>
      <c r="V12" s="4"/>
      <c r="W12" s="7"/>
      <c r="X12" s="7"/>
      <c r="Y12" s="7"/>
      <c r="Z12" s="7"/>
      <c r="AA12" s="7"/>
      <c r="AB12" s="7"/>
      <c r="AC12" s="7"/>
      <c r="AD12" s="7"/>
    </row>
    <row r="13" spans="1:42" x14ac:dyDescent="0.2">
      <c r="A13" s="2"/>
      <c r="B13" s="2"/>
      <c r="C13" s="8"/>
      <c r="P13" s="4"/>
      <c r="Q13" s="9"/>
      <c r="R13" s="7"/>
      <c r="S13" s="7"/>
      <c r="T13" s="7"/>
      <c r="U13" s="7"/>
      <c r="V13" s="4">
        <f>IF(ISERROR(RTD("cqg.rtd",,"StudyData","V2TX","Bar",,"Close","D","-1",,,,,"T")-RTD("cqg.rtd",,"StudyData","V2TX","Bar",,"Close","D",,,,,,"T")),NA(),RTD("cqg.rtd",,"StudyData","V2TX","Bar",,"Close","D","-1",,,,,"T")-RTD("cqg.rtd",,"StudyData","V2TX","Bar",,"Close","D",,,,,,"T"))</f>
        <v>0.75999999999999801</v>
      </c>
      <c r="W13" s="7"/>
      <c r="X13" s="7"/>
      <c r="Y13" s="7"/>
      <c r="Z13" s="7"/>
      <c r="AA13" s="7"/>
      <c r="AB13" s="7"/>
      <c r="AC13" s="7"/>
      <c r="AD13" s="7"/>
      <c r="AJ13" s="3">
        <f>RTD("cqg.rtd", ,"ContractData",Q2, "Settlement",,"T")</f>
        <v>19.84</v>
      </c>
    </row>
    <row r="14" spans="1:42" x14ac:dyDescent="0.2">
      <c r="P14" s="4"/>
      <c r="Q14" s="4" t="str">
        <f>IF(LEFT(RTD("cqg.rtd", ,"ContractData", $Q$1&amp;"?"&amp;R42, "Symbol"),3)="768",NA(),RTD("cqg.rtd", ,"ContractData", $Q$1&amp;"?"&amp;R41, "Symbol"))</f>
        <v>FVSF4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J14" s="3">
        <f xml:space="preserve"> RTD("cqg.rtd",,"StudyData", Q2,  "Bar",, "Close", "180","-1",,"VIXVSTOXX")</f>
        <v>1920</v>
      </c>
    </row>
    <row r="15" spans="1:42" x14ac:dyDescent="0.2">
      <c r="P15" s="4"/>
      <c r="Q15" s="4"/>
      <c r="R15" s="4"/>
      <c r="S15" s="4"/>
      <c r="T15" s="4"/>
      <c r="U15" s="4"/>
    </row>
    <row r="16" spans="1:42" x14ac:dyDescent="0.2">
      <c r="V16" s="3">
        <f>(RTD("cqg.rtd",,"StudyData","V2TX","Bar",,"Close","D","-1",,,,,"T"))</f>
        <v>19.239999999999998</v>
      </c>
    </row>
    <row r="17" spans="21:29" x14ac:dyDescent="0.2">
      <c r="V17" s="3">
        <f>(RTD("cqg.rtd",,"StudyData","V2TX","Bar",,"Close","D","0",,,,,"T"))</f>
        <v>18.48</v>
      </c>
      <c r="AB17" s="10"/>
      <c r="AC17" s="10"/>
    </row>
    <row r="18" spans="21:29" x14ac:dyDescent="0.2">
      <c r="AB18" s="10"/>
      <c r="AC18" s="10"/>
    </row>
    <row r="19" spans="21:29" x14ac:dyDescent="0.2">
      <c r="AB19" s="10"/>
      <c r="AC19" s="10"/>
    </row>
    <row r="20" spans="21:29" x14ac:dyDescent="0.2">
      <c r="U20" s="11"/>
      <c r="AB20" s="10"/>
      <c r="AC20" s="10"/>
    </row>
    <row r="21" spans="21:29" x14ac:dyDescent="0.2">
      <c r="V21" s="3">
        <f>V17-V16</f>
        <v>-0.75999999999999801</v>
      </c>
      <c r="AB21" s="10"/>
      <c r="AC21" s="10"/>
    </row>
    <row r="22" spans="21:29" x14ac:dyDescent="0.2">
      <c r="AB22" s="10"/>
      <c r="AC22" s="10"/>
    </row>
    <row r="23" spans="21:29" x14ac:dyDescent="0.2">
      <c r="AB23" s="10"/>
      <c r="AC23" s="10"/>
    </row>
    <row r="24" spans="21:29" x14ac:dyDescent="0.2">
      <c r="AB24" s="10"/>
      <c r="AC24" s="10"/>
    </row>
    <row r="34" spans="18:19" x14ac:dyDescent="0.2">
      <c r="R34" s="3" t="s">
        <v>6</v>
      </c>
    </row>
    <row r="35" spans="18:19" x14ac:dyDescent="0.2">
      <c r="R35" s="3">
        <v>1</v>
      </c>
      <c r="S35" s="3" t="str">
        <f>RTD("cqg.rtd",,"ContractData",Q1&amp;"?1", "Symbol")</f>
        <v>FVSN3</v>
      </c>
    </row>
    <row r="36" spans="18:19" x14ac:dyDescent="0.2">
      <c r="R36" s="3">
        <f>R35+1</f>
        <v>2</v>
      </c>
      <c r="S36" s="3" t="str">
        <f>RTD("cqg.rtd",,"ContractData",Q1&amp;"?2", "Symbol")</f>
        <v>FVSQ3</v>
      </c>
    </row>
    <row r="37" spans="18:19" x14ac:dyDescent="0.2">
      <c r="R37" s="3">
        <f t="shared" ref="R37:R46" si="12">R36+1</f>
        <v>3</v>
      </c>
    </row>
    <row r="38" spans="18:19" x14ac:dyDescent="0.2">
      <c r="R38" s="3">
        <f t="shared" si="12"/>
        <v>4</v>
      </c>
    </row>
    <row r="39" spans="18:19" x14ac:dyDescent="0.2">
      <c r="R39" s="3">
        <f t="shared" si="12"/>
        <v>5</v>
      </c>
    </row>
    <row r="40" spans="18:19" x14ac:dyDescent="0.2">
      <c r="R40" s="3">
        <f t="shared" si="12"/>
        <v>6</v>
      </c>
    </row>
    <row r="41" spans="18:19" x14ac:dyDescent="0.2">
      <c r="R41" s="3">
        <f t="shared" si="12"/>
        <v>7</v>
      </c>
    </row>
    <row r="42" spans="18:19" x14ac:dyDescent="0.2">
      <c r="R42" s="3">
        <f t="shared" si="12"/>
        <v>8</v>
      </c>
    </row>
    <row r="43" spans="18:19" x14ac:dyDescent="0.2">
      <c r="R43" s="3">
        <f t="shared" si="12"/>
        <v>9</v>
      </c>
    </row>
    <row r="44" spans="18:19" x14ac:dyDescent="0.2">
      <c r="R44" s="3">
        <f t="shared" si="12"/>
        <v>10</v>
      </c>
    </row>
    <row r="45" spans="18:19" x14ac:dyDescent="0.2">
      <c r="R45" s="3">
        <f t="shared" si="12"/>
        <v>11</v>
      </c>
    </row>
    <row r="46" spans="18:19" x14ac:dyDescent="0.2">
      <c r="R46" s="3">
        <f t="shared" si="12"/>
        <v>12</v>
      </c>
    </row>
  </sheetData>
  <sheetProtection algorithmName="SHA-512" hashValue="rmghZM/jkimNRRVhGSlYHlvH/vF9QC9wS9UdoXAYcpFnYZ5k25iLiy5XTuLFDerCkKhGhPn42VD2+cYZZKAe9Q==" saltValue="aJPsr+LF5boxMHdiUaeNK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opLeftCell="R1" workbookViewId="0">
      <selection activeCell="X19" sqref="X19"/>
    </sheetView>
  </sheetViews>
  <sheetFormatPr defaultColWidth="9" defaultRowHeight="14.25" x14ac:dyDescent="0.2"/>
  <cols>
    <col min="1" max="14" width="9" style="3"/>
    <col min="15" max="15" width="10.875" style="3" customWidth="1"/>
    <col min="16" max="16" width="9.875" style="3" bestFit="1" customWidth="1"/>
    <col min="17" max="17" width="9" style="3"/>
    <col min="18" max="18" width="14.375" style="3" customWidth="1"/>
    <col min="19" max="20" width="9" style="3"/>
    <col min="21" max="21" width="17.75" style="3" customWidth="1"/>
    <col min="22" max="22" width="9" style="3"/>
    <col min="23" max="23" width="25.5" style="3" customWidth="1"/>
    <col min="24" max="16384" width="9" style="3"/>
  </cols>
  <sheetData>
    <row r="1" spans="1:42" x14ac:dyDescent="0.2">
      <c r="A1" s="2"/>
      <c r="B1" s="2"/>
      <c r="C1" s="2"/>
      <c r="P1" s="4" t="s">
        <v>22</v>
      </c>
      <c r="Q1" s="5" t="str">
        <f>Main!K4</f>
        <v>VX</v>
      </c>
      <c r="R1" s="6" t="s">
        <v>2</v>
      </c>
      <c r="S1" s="6" t="s">
        <v>0</v>
      </c>
      <c r="T1" s="6" t="s">
        <v>1</v>
      </c>
      <c r="U1" s="4" t="s">
        <v>3</v>
      </c>
      <c r="V1" s="4">
        <f>AF1-AL1</f>
        <v>-0.63999999999999879</v>
      </c>
      <c r="W1" s="6" t="s">
        <v>23</v>
      </c>
      <c r="X1" s="6"/>
      <c r="Y1" s="6" t="s">
        <v>0</v>
      </c>
      <c r="Z1" s="6" t="s">
        <v>1</v>
      </c>
      <c r="AA1" s="4" t="s">
        <v>4</v>
      </c>
      <c r="AB1" s="4" t="s">
        <v>4</v>
      </c>
      <c r="AC1" s="7"/>
      <c r="AD1" s="4" t="s">
        <v>4</v>
      </c>
      <c r="AF1" s="3">
        <f>RTD("cqg.rtd", ,"ContractData", "VXC", "LastPrice",,"T")</f>
        <v>13.780000000000001</v>
      </c>
      <c r="AH1" s="3" t="s">
        <v>21</v>
      </c>
      <c r="AL1" s="3">
        <f>RTD("cqg.rtd", ,"ContractData", "VXC[-1]", "LastPrice",,"T")</f>
        <v>14.42</v>
      </c>
    </row>
    <row r="2" spans="1:42" x14ac:dyDescent="0.2">
      <c r="A2" s="2"/>
      <c r="B2" s="2"/>
      <c r="C2" s="8"/>
      <c r="N2" s="62">
        <f ca="1">TODAY()</f>
        <v>41472</v>
      </c>
      <c r="O2" s="62">
        <f>RTD("cqg.rtd", ,"ContractData",Q2, "ExpirationDate")</f>
        <v>41506</v>
      </c>
      <c r="P2" s="63">
        <f ca="1">O2-N2</f>
        <v>34</v>
      </c>
      <c r="Q2" s="9" t="str">
        <f>RTD("cqg.rtd", ,"ContractData", $Q$1&amp;"?"&amp;R35, "Symbol")</f>
        <v>VXQ3</v>
      </c>
      <c r="R2" s="7">
        <f>RTD("cqg.rtd", ,"ContractData", Q2, $R$1,,"T")</f>
        <v>15.6</v>
      </c>
      <c r="S2" s="7">
        <f>RTD("cqg.rtd", ,"ContractData", Q2,$S$1,,"T")</f>
        <v>15.55</v>
      </c>
      <c r="T2" s="7">
        <f>RTD("cqg.rtd", ,"ContractData", Q2,$T$1,,"T")</f>
        <v>15.6</v>
      </c>
      <c r="U2" s="7">
        <f>RTD("cqg.rtd", ,"ContractData", "F."&amp;$Q$1&amp;"?1", $U$1,,"T")</f>
        <v>-0.59999999999999964</v>
      </c>
      <c r="V2" s="7">
        <f>U2</f>
        <v>-0.59999999999999964</v>
      </c>
      <c r="W2" s="7"/>
      <c r="X2" s="7"/>
      <c r="Y2" s="7"/>
      <c r="Z2" s="7"/>
      <c r="AA2" s="7"/>
      <c r="AB2" s="7">
        <f t="shared" ref="AB2:AB7" si="0">IF(OR(S2="",T2=""),R2,(IF(OR(R2="",R2&lt;S2,R2&gt;T2),(S2+T2)/2,R2)))</f>
        <v>15.6</v>
      </c>
      <c r="AC2" s="7">
        <f>IF(OR(R2="",R2&lt;S2,R2&gt;T2),(S2+T2)/2,R2)</f>
        <v>15.6</v>
      </c>
      <c r="AD2" s="7">
        <f>IF(OR(Y2="",Z2=""),W2,(IF(OR(W2="",W2&lt;Y2,W2&gt;Z2),(Y2+Z2)/2,W2)))</f>
        <v>0</v>
      </c>
      <c r="AF2" s="3">
        <f>IF(ISERROR(AC2),NA(),AC2)</f>
        <v>15.6</v>
      </c>
      <c r="AG2" s="3">
        <f>IF(AD2="",NA(),AD2)</f>
        <v>0</v>
      </c>
      <c r="AH2" s="3" t="str">
        <f>RIGHT(RTD("cqg.rtd", ,"ContractData",Q2, "LongDescription"),6)</f>
        <v>Aug 13</v>
      </c>
      <c r="AJ2" s="3">
        <f>RTD("cqg.rtd", ,"ContractData",Q2, "Settlement",,"T")</f>
        <v>15.6</v>
      </c>
      <c r="AL2" s="3">
        <f>IF(AJ2="",NA(),AJ2)</f>
        <v>15.6</v>
      </c>
      <c r="AN2" s="3">
        <f>RTD("cqg.rtd",,"StudyData",Q2, "VolOI","OIType=Contract","OI","D","-1","all",,,,"T")</f>
        <v>161326</v>
      </c>
      <c r="AO2" s="3">
        <f>RTD("cqg.rtd",,"StudyData",Q2, "VolOI","OIType=Contract","OI","D","-2","all",,,,"T")</f>
        <v>145742</v>
      </c>
      <c r="AP2" s="3">
        <f>AN2-AO2</f>
        <v>15584</v>
      </c>
    </row>
    <row r="3" spans="1:42" x14ac:dyDescent="0.2">
      <c r="A3" s="2"/>
      <c r="B3" s="2"/>
      <c r="C3" s="8"/>
      <c r="N3" s="62">
        <f t="shared" ref="N3:N10" ca="1" si="1">TODAY()</f>
        <v>41472</v>
      </c>
      <c r="O3" s="62">
        <f>RTD("cqg.rtd", ,"ContractData",Q3, "ExpirationDate")</f>
        <v>41534</v>
      </c>
      <c r="P3" s="63">
        <f t="shared" ref="P3:P10" ca="1" si="2">O3-N3</f>
        <v>62</v>
      </c>
      <c r="Q3" s="9" t="str">
        <f>RTD("cqg.rtd", ,"ContractData", $Q$1&amp;"?"&amp;R36, "Symbol")</f>
        <v>VXU3</v>
      </c>
      <c r="R3" s="7">
        <f>RTD("cqg.rtd", ,"ContractData", Q3, $R$1,,"T")</f>
        <v>16.95</v>
      </c>
      <c r="S3" s="7">
        <f>RTD("cqg.rtd", ,"ContractData", Q3,$S$1,,"T")</f>
        <v>16.899999999999999</v>
      </c>
      <c r="T3" s="7">
        <f>RTD("cqg.rtd", ,"ContractData", Q3,$T$1,,"T")</f>
        <v>16.95</v>
      </c>
      <c r="U3" s="7">
        <f>RTD("cqg.rtd", ,"ContractData", "F."&amp;$Q$1&amp;"?2",  $U$1,,"T")</f>
        <v>-0.5</v>
      </c>
      <c r="V3" s="7">
        <f t="shared" ref="V3:V10" si="3">U3</f>
        <v>-0.5</v>
      </c>
      <c r="W3" s="7"/>
      <c r="X3" s="7"/>
      <c r="Y3" s="7"/>
      <c r="Z3" s="7"/>
      <c r="AA3" s="7"/>
      <c r="AB3" s="7">
        <f t="shared" si="0"/>
        <v>16.95</v>
      </c>
      <c r="AC3" s="7">
        <f>IF(OR(R3="",R3&lt;S3,R3&gt;T3),(S3+T3)/2,R3)</f>
        <v>16.95</v>
      </c>
      <c r="AD3" s="7">
        <f t="shared" ref="AD3:AD10" si="4">IF(OR(Y3="",Z3=""),W3,(IF(OR(W3="",W3&lt;Y3,W3&gt;Z3),(Y3+Z3)/2,W3)))</f>
        <v>0</v>
      </c>
      <c r="AF3" s="3">
        <f t="shared" ref="AF3:AF10" si="5">IF(ISERROR(AC3),NA(),AC3)</f>
        <v>16.95</v>
      </c>
      <c r="AG3" s="3">
        <f>IF(AD3="",NA(),AD3)</f>
        <v>0</v>
      </c>
      <c r="AH3" s="3" t="str">
        <f>RIGHT(RTD("cqg.rtd", ,"ContractData",Q3, "LongDescription"),6)</f>
        <v>Sep 13</v>
      </c>
      <c r="AJ3" s="3">
        <f>RTD("cqg.rtd", ,"ContractData",Q3, "Settlement",,"T")</f>
        <v>16.95</v>
      </c>
      <c r="AL3" s="3">
        <f t="shared" ref="AL3:AL10" si="6">IF(AJ3="",NA(),AJ3)</f>
        <v>16.95</v>
      </c>
      <c r="AN3" s="3">
        <f>RTD("cqg.rtd",,"StudyData",Q3, "VolOI","OIType=Contract","OI","D","-1","all",,,,"T")</f>
        <v>54448</v>
      </c>
      <c r="AO3" s="3">
        <f>RTD("cqg.rtd",,"StudyData",Q3, "VolOI","OIType=Contract","OI","D","-2","all",,,,"T")</f>
        <v>50765</v>
      </c>
      <c r="AP3" s="3">
        <f t="shared" ref="AP3:AP10" si="7">AN3-AO3</f>
        <v>3683</v>
      </c>
    </row>
    <row r="4" spans="1:42" x14ac:dyDescent="0.2">
      <c r="A4" s="2"/>
      <c r="B4" s="2"/>
      <c r="C4" s="8"/>
      <c r="N4" s="62">
        <f t="shared" ca="1" si="1"/>
        <v>41472</v>
      </c>
      <c r="O4" s="62">
        <f>RTD("cqg.rtd", ,"ContractData",Q4, "ExpirationDate")</f>
        <v>41562</v>
      </c>
      <c r="P4" s="63">
        <f t="shared" ca="1" si="2"/>
        <v>90</v>
      </c>
      <c r="Q4" s="9" t="str">
        <f>RTD("cqg.rtd", ,"ContractData", $Q$1&amp;"?"&amp;R37, "Symbol")</f>
        <v>VXV3</v>
      </c>
      <c r="R4" s="7">
        <f>RTD("cqg.rtd", ,"ContractData", Q4, $R$1,,"T")</f>
        <v>17.850000000000001</v>
      </c>
      <c r="S4" s="7">
        <f>RTD("cqg.rtd", ,"ContractData", Q4,$S$1,,"T")</f>
        <v>17.8</v>
      </c>
      <c r="T4" s="7">
        <f>RTD("cqg.rtd", ,"ContractData", Q4,$T$1,,"T")</f>
        <v>17.850000000000001</v>
      </c>
      <c r="U4" s="7">
        <f>RTD("cqg.rtd", ,"ContractData", "F."&amp;$Q$1&amp;"?3",  $U$1,,"T")</f>
        <v>-0.5</v>
      </c>
      <c r="V4" s="7">
        <f t="shared" si="3"/>
        <v>-0.5</v>
      </c>
      <c r="W4" s="7"/>
      <c r="X4" s="7"/>
      <c r="Y4" s="7"/>
      <c r="Z4" s="7"/>
      <c r="AA4" s="7"/>
      <c r="AB4" s="7">
        <f t="shared" si="0"/>
        <v>17.850000000000001</v>
      </c>
      <c r="AC4" s="7">
        <f t="shared" ref="AC4:AC10" si="8">IF(OR(R4="",R4&lt;S4,R4&gt;T4),(S4+T4)/2,R4)</f>
        <v>17.850000000000001</v>
      </c>
      <c r="AD4" s="7">
        <f t="shared" si="4"/>
        <v>0</v>
      </c>
      <c r="AF4" s="3">
        <f t="shared" si="5"/>
        <v>17.850000000000001</v>
      </c>
      <c r="AG4" s="3">
        <f>IF(AD4="",NA(),AD4)</f>
        <v>0</v>
      </c>
      <c r="AH4" s="3" t="str">
        <f>RIGHT(RTD("cqg.rtd", ,"ContractData",Q4, "LongDescription"),6)</f>
        <v>Oct 13</v>
      </c>
      <c r="AJ4" s="3">
        <f>RTD("cqg.rtd", ,"ContractData",Q4, "Settlement",,"T")</f>
        <v>17.850000000000001</v>
      </c>
      <c r="AL4" s="3">
        <f t="shared" si="6"/>
        <v>17.850000000000001</v>
      </c>
      <c r="AN4" s="3">
        <f>RTD("cqg.rtd",,"StudyData",Q4, "VolOI","OIType=Contract","OI","D","-1","all",,,,"T")</f>
        <v>29167</v>
      </c>
      <c r="AO4" s="3">
        <f>RTD("cqg.rtd",,"StudyData",Q4, "VolOI","OIType=Contract","OI","D","-2","all",,,,"T")</f>
        <v>27887</v>
      </c>
      <c r="AP4" s="3">
        <f t="shared" si="7"/>
        <v>1280</v>
      </c>
    </row>
    <row r="5" spans="1:42" x14ac:dyDescent="0.2">
      <c r="A5" s="2"/>
      <c r="B5" s="2"/>
      <c r="C5" s="8"/>
      <c r="N5" s="62">
        <f t="shared" ca="1" si="1"/>
        <v>41472</v>
      </c>
      <c r="O5" s="62">
        <f>RTD("cqg.rtd", ,"ContractData",Q5, "ExpirationDate")</f>
        <v>41597</v>
      </c>
      <c r="P5" s="63">
        <f t="shared" ca="1" si="2"/>
        <v>125</v>
      </c>
      <c r="Q5" s="9" t="str">
        <f>RTD("cqg.rtd", ,"ContractData", $Q$1&amp;"?"&amp;R38, "Symbol")</f>
        <v>VXX3</v>
      </c>
      <c r="R5" s="7">
        <f>RTD("cqg.rtd", ,"ContractData", Q5, $R$1,,"T")</f>
        <v>18.45</v>
      </c>
      <c r="S5" s="7">
        <f>RTD("cqg.rtd", ,"ContractData", Q5,$S$1,,"T")</f>
        <v>18.400000000000002</v>
      </c>
      <c r="T5" s="7">
        <f>RTD("cqg.rtd", ,"ContractData", Q5,$T$1,,"T")</f>
        <v>18.45</v>
      </c>
      <c r="U5" s="7">
        <f>RTD("cqg.rtd", ,"ContractData", "F."&amp;$Q$1&amp;"?4",  $U$1,,"T")</f>
        <v>-0.45000000000000284</v>
      </c>
      <c r="V5" s="7">
        <f t="shared" si="3"/>
        <v>-0.45000000000000284</v>
      </c>
      <c r="W5" s="7"/>
      <c r="X5" s="7"/>
      <c r="Y5" s="7"/>
      <c r="Z5" s="7"/>
      <c r="AA5" s="7"/>
      <c r="AB5" s="7">
        <f t="shared" si="0"/>
        <v>18.45</v>
      </c>
      <c r="AC5" s="7">
        <f t="shared" si="8"/>
        <v>18.45</v>
      </c>
      <c r="AD5" s="7">
        <f t="shared" si="4"/>
        <v>0</v>
      </c>
      <c r="AF5" s="3">
        <f t="shared" si="5"/>
        <v>18.45</v>
      </c>
      <c r="AG5" s="3">
        <f t="shared" ref="AG5:AG10" si="9">IF(AD5="",NA(),AD5)</f>
        <v>0</v>
      </c>
      <c r="AH5" s="3" t="str">
        <f>RIGHT(RTD("cqg.rtd", ,"ContractData",Q5, "LongDescription"),6)</f>
        <v>Nov 13</v>
      </c>
      <c r="AJ5" s="3">
        <f>RTD("cqg.rtd", ,"ContractData",Q5, "Settlement",,"T")</f>
        <v>18.45</v>
      </c>
      <c r="AL5" s="3">
        <f t="shared" si="6"/>
        <v>18.45</v>
      </c>
      <c r="AN5" s="3">
        <f>RTD("cqg.rtd",,"StudyData",Q5, "VolOI","OIType=Contract","OI","D","-1","all",,,,"T")</f>
        <v>29164</v>
      </c>
      <c r="AO5" s="3">
        <f>RTD("cqg.rtd",,"StudyData",Q5, "VolOI","OIType=Contract","OI","D","-2","all",,,,"T")</f>
        <v>28946</v>
      </c>
      <c r="AP5" s="3">
        <f t="shared" si="7"/>
        <v>218</v>
      </c>
    </row>
    <row r="6" spans="1:42" x14ac:dyDescent="0.2">
      <c r="A6" s="2"/>
      <c r="B6" s="2"/>
      <c r="C6" s="8"/>
      <c r="N6" s="62">
        <f t="shared" ca="1" si="1"/>
        <v>41472</v>
      </c>
      <c r="O6" s="62">
        <f>RTD("cqg.rtd", ,"ContractData",Q6, "ExpirationDate")</f>
        <v>41625</v>
      </c>
      <c r="P6" s="63">
        <f t="shared" ca="1" si="2"/>
        <v>153</v>
      </c>
      <c r="Q6" s="9" t="str">
        <f>RTD("cqg.rtd", ,"ContractData", $Q$1&amp;"?"&amp;R39, "Symbol")</f>
        <v>VXZ3</v>
      </c>
      <c r="R6" s="7">
        <f>RTD("cqg.rtd", ,"ContractData", Q6, $R$1,,"T")</f>
        <v>18.900000000000002</v>
      </c>
      <c r="S6" s="7">
        <f>RTD("cqg.rtd", ,"ContractData", Q6,$S$1,,"T")</f>
        <v>18.850000000000001</v>
      </c>
      <c r="T6" s="7">
        <f>RTD("cqg.rtd", ,"ContractData", Q6,$T$1,,"T")</f>
        <v>18.900000000000002</v>
      </c>
      <c r="U6" s="7">
        <f>RTD("cqg.rtd", ,"ContractData", "F."&amp;$Q$1&amp;"?5",  $U$1,,"T")</f>
        <v>-0.44999999999999929</v>
      </c>
      <c r="V6" s="7">
        <f t="shared" si="3"/>
        <v>-0.44999999999999929</v>
      </c>
      <c r="W6" s="7"/>
      <c r="X6" s="7"/>
      <c r="Y6" s="7"/>
      <c r="Z6" s="7"/>
      <c r="AA6" s="7"/>
      <c r="AB6" s="7">
        <f t="shared" si="0"/>
        <v>18.900000000000002</v>
      </c>
      <c r="AC6" s="7">
        <f t="shared" si="8"/>
        <v>18.900000000000002</v>
      </c>
      <c r="AD6" s="7">
        <f t="shared" si="4"/>
        <v>0</v>
      </c>
      <c r="AF6" s="3">
        <f t="shared" si="5"/>
        <v>18.900000000000002</v>
      </c>
      <c r="AG6" s="3">
        <f t="shared" si="9"/>
        <v>0</v>
      </c>
      <c r="AH6" s="3" t="str">
        <f>RIGHT(RTD("cqg.rtd", ,"ContractData",Q6, "LongDescription"),6)</f>
        <v>Dec 13</v>
      </c>
      <c r="AJ6" s="3">
        <f>RTD("cqg.rtd", ,"ContractData",Q6, "Settlement",,"T")</f>
        <v>18.900000000000002</v>
      </c>
      <c r="AL6" s="3">
        <f t="shared" si="6"/>
        <v>18.900000000000002</v>
      </c>
      <c r="AN6" s="3">
        <f>RTD("cqg.rtd",,"StudyData",Q6, "VolOI","OIType=Contract","OI","D","-1","all",,,,"T")</f>
        <v>24999</v>
      </c>
      <c r="AO6" s="3">
        <f>RTD("cqg.rtd",,"StudyData",Q6, "VolOI","OIType=Contract","OI","D","-2","all",,,,"T")</f>
        <v>25019</v>
      </c>
      <c r="AP6" s="3">
        <f t="shared" si="7"/>
        <v>-20</v>
      </c>
    </row>
    <row r="7" spans="1:42" x14ac:dyDescent="0.2">
      <c r="A7" s="2"/>
      <c r="B7" s="2"/>
      <c r="C7" s="8"/>
      <c r="N7" s="62">
        <f t="shared" ca="1" si="1"/>
        <v>41472</v>
      </c>
      <c r="O7" s="62">
        <f>RTD("cqg.rtd", ,"ContractData",Q7, "ExpirationDate")</f>
        <v>41660</v>
      </c>
      <c r="P7" s="63">
        <f t="shared" ca="1" si="2"/>
        <v>188</v>
      </c>
      <c r="Q7" s="9" t="str">
        <f>RTD("cqg.rtd", ,"ContractData", $Q$1&amp;"?"&amp;R40, "Symbol")</f>
        <v>VXF4</v>
      </c>
      <c r="R7" s="7">
        <f>RTD("cqg.rtd", ,"ContractData", Q7, $R$1,,"T")</f>
        <v>19.7</v>
      </c>
      <c r="S7" s="7">
        <f>RTD("cqg.rtd", ,"ContractData", Q7,$S$1,,"T")</f>
        <v>19.650000000000002</v>
      </c>
      <c r="T7" s="7">
        <f>RTD("cqg.rtd", ,"ContractData", Q7,$T$1,,"T")</f>
        <v>19.7</v>
      </c>
      <c r="U7" s="7">
        <f>RTD("cqg.rtd", ,"ContractData", "F."&amp;$Q$1&amp;"?6", $U$1,,"T")</f>
        <v>-0.35000000000000142</v>
      </c>
      <c r="V7" s="7">
        <f t="shared" si="3"/>
        <v>-0.35000000000000142</v>
      </c>
      <c r="W7" s="7"/>
      <c r="X7" s="7"/>
      <c r="Y7" s="7"/>
      <c r="Z7" s="7"/>
      <c r="AA7" s="7"/>
      <c r="AB7" s="7">
        <f t="shared" si="0"/>
        <v>19.7</v>
      </c>
      <c r="AC7" s="7">
        <f t="shared" si="8"/>
        <v>19.7</v>
      </c>
      <c r="AD7" s="7">
        <f t="shared" si="4"/>
        <v>0</v>
      </c>
      <c r="AF7" s="3">
        <f t="shared" si="5"/>
        <v>19.7</v>
      </c>
      <c r="AG7" s="3">
        <f t="shared" si="9"/>
        <v>0</v>
      </c>
      <c r="AH7" s="3" t="str">
        <f>RIGHT(RTD("cqg.rtd", ,"ContractData",Q7, "LongDescription"),6)</f>
        <v>Jan 14</v>
      </c>
      <c r="AJ7" s="3">
        <f>RTD("cqg.rtd", ,"ContractData",Q7, "Settlement",,"T")</f>
        <v>19.7</v>
      </c>
      <c r="AL7" s="3">
        <f t="shared" si="6"/>
        <v>19.7</v>
      </c>
      <c r="AN7" s="3">
        <f>RTD("cqg.rtd",,"StudyData",Q7, "VolOI","OIType=Contract","OI","D","-1","all",,,,"T")</f>
        <v>12478</v>
      </c>
      <c r="AO7" s="3">
        <f>RTD("cqg.rtd",,"StudyData",Q7, "VolOI","OIType=Contract","OI","D","-2","all",,,,"T")</f>
        <v>12547</v>
      </c>
      <c r="AP7" s="3">
        <f t="shared" si="7"/>
        <v>-69</v>
      </c>
    </row>
    <row r="8" spans="1:42" x14ac:dyDescent="0.2">
      <c r="A8" s="2"/>
      <c r="B8" s="2"/>
      <c r="C8" s="8"/>
      <c r="N8" s="62">
        <f t="shared" ca="1" si="1"/>
        <v>41472</v>
      </c>
      <c r="O8" s="62">
        <f>RTD("cqg.rtd", ,"ContractData",Q8, "ExpirationDate")</f>
        <v>41688</v>
      </c>
      <c r="P8" s="63">
        <f t="shared" ca="1" si="2"/>
        <v>216</v>
      </c>
      <c r="Q8" s="9" t="str">
        <f>RTD("cqg.rtd", ,"ContractData", $Q$1&amp;"?"&amp;R41, "Symbol")</f>
        <v>VXG4</v>
      </c>
      <c r="R8" s="7">
        <f>RTD("cqg.rtd", ,"ContractData", Q8, $R$1,,"T")</f>
        <v>20.150000000000002</v>
      </c>
      <c r="S8" s="7">
        <f>RTD("cqg.rtd", ,"ContractData", Q8,$S$1,,"T")</f>
        <v>20.100000000000001</v>
      </c>
      <c r="T8" s="7">
        <f>RTD("cqg.rtd", ,"ContractData", Q8,$T$1,,"T")</f>
        <v>20.150000000000002</v>
      </c>
      <c r="U8" s="7">
        <f>RTD("cqg.rtd", ,"ContractData", "F."&amp;$Q$1&amp;"?7", $U$1,,"T")</f>
        <v>-0.29999999999999716</v>
      </c>
      <c r="V8" s="7">
        <f t="shared" si="3"/>
        <v>-0.29999999999999716</v>
      </c>
      <c r="W8" s="7"/>
      <c r="X8" s="7"/>
      <c r="Y8" s="7"/>
      <c r="Z8" s="7"/>
      <c r="AA8" s="7"/>
      <c r="AB8" s="7">
        <f t="shared" ref="AB8:AB10" si="10">IF(OR(S8="",T8=""),R8,(IF(OR(R8="",R8&lt;S8,R8&gt;T8),(S8+T8)/2,R8)))</f>
        <v>20.150000000000002</v>
      </c>
      <c r="AC8" s="7">
        <f t="shared" si="8"/>
        <v>20.150000000000002</v>
      </c>
      <c r="AD8" s="7">
        <f t="shared" si="4"/>
        <v>0</v>
      </c>
      <c r="AF8" s="3">
        <f t="shared" si="5"/>
        <v>20.150000000000002</v>
      </c>
      <c r="AG8" s="3">
        <f t="shared" si="9"/>
        <v>0</v>
      </c>
      <c r="AH8" s="3" t="str">
        <f>RIGHT(RTD("cqg.rtd", ,"ContractData",Q8, "LongDescription"),6)</f>
        <v>Feb 14</v>
      </c>
      <c r="AJ8" s="3">
        <f>RTD("cqg.rtd", ,"ContractData",Q8, "Settlement",,"T")</f>
        <v>20.150000000000002</v>
      </c>
      <c r="AL8" s="3">
        <f t="shared" si="6"/>
        <v>20.150000000000002</v>
      </c>
      <c r="AN8" s="3">
        <f>RTD("cqg.rtd",,"StudyData",Q8, "VolOI","OIType=Contract","OI","D","-1","all",,,,"T")</f>
        <v>3070</v>
      </c>
      <c r="AO8" s="3">
        <f>RTD("cqg.rtd",,"StudyData",Q8, "VolOI","OIType=Contract","OI","D","-2","all",,,,"T")</f>
        <v>3074</v>
      </c>
      <c r="AP8" s="3">
        <f t="shared" si="7"/>
        <v>-4</v>
      </c>
    </row>
    <row r="9" spans="1:42" x14ac:dyDescent="0.2">
      <c r="A9" s="2"/>
      <c r="B9" s="2"/>
      <c r="C9" s="8"/>
      <c r="N9" s="62">
        <f t="shared" ca="1" si="1"/>
        <v>41472</v>
      </c>
      <c r="O9" s="62">
        <f>RTD("cqg.rtd", ,"ContractData",Q9, "ExpirationDate")</f>
        <v>41716</v>
      </c>
      <c r="P9" s="63">
        <f t="shared" ca="1" si="2"/>
        <v>244</v>
      </c>
      <c r="Q9" s="9" t="str">
        <f>RTD("cqg.rtd", ,"ContractData", $Q$1&amp;"?"&amp;R42, "Symbol")</f>
        <v>VXH4</v>
      </c>
      <c r="R9" s="7">
        <f>RTD("cqg.rtd", ,"ContractData", Q9, $R$1,,"T")</f>
        <v>20.5</v>
      </c>
      <c r="S9" s="7">
        <f>RTD("cqg.rtd", ,"ContractData", Q9,$S$1,,"T")</f>
        <v>20.45</v>
      </c>
      <c r="T9" s="7">
        <f>RTD("cqg.rtd", ,"ContractData", Q9,$T$1,,"T")</f>
        <v>20.55</v>
      </c>
      <c r="U9" s="7">
        <f>RTD("cqg.rtd", ,"ContractData", "F."&amp;$Q$1&amp;"?8", $U$1,,"T")</f>
        <v>-0.35000000000000142</v>
      </c>
      <c r="V9" s="7">
        <f t="shared" si="3"/>
        <v>-0.35000000000000142</v>
      </c>
      <c r="W9" s="7"/>
      <c r="X9" s="7"/>
      <c r="Y9" s="7"/>
      <c r="Z9" s="7"/>
      <c r="AA9" s="7"/>
      <c r="AB9" s="7">
        <f t="shared" si="10"/>
        <v>20.5</v>
      </c>
      <c r="AC9" s="7">
        <f t="shared" si="8"/>
        <v>20.5</v>
      </c>
      <c r="AD9" s="7">
        <f t="shared" si="4"/>
        <v>0</v>
      </c>
      <c r="AF9" s="3">
        <f t="shared" si="5"/>
        <v>20.5</v>
      </c>
      <c r="AG9" s="3">
        <f t="shared" si="9"/>
        <v>0</v>
      </c>
      <c r="AH9" s="3" t="str">
        <f>RIGHT(RTD("cqg.rtd", ,"ContractData",Q9, "LongDescription"),6)</f>
        <v>Mar 14</v>
      </c>
      <c r="AJ9" s="3">
        <f>RTD("cqg.rtd", ,"ContractData",Q9, "Settlement",,"T")</f>
        <v>20.5</v>
      </c>
      <c r="AL9" s="3">
        <f t="shared" si="6"/>
        <v>20.5</v>
      </c>
      <c r="AN9" s="3">
        <f>RTD("cqg.rtd",,"StudyData",Q9, "VolOI","OIType=Contract","OI","D","-1","all",,,,"T")</f>
        <v>190</v>
      </c>
      <c r="AO9" s="3">
        <f>RTD("cqg.rtd",,"StudyData",Q9, "VolOI","OIType=Contract","OI","D","-2","all",,,,"T")</f>
        <v>185</v>
      </c>
      <c r="AP9" s="3">
        <f t="shared" si="7"/>
        <v>5</v>
      </c>
    </row>
    <row r="10" spans="1:42" x14ac:dyDescent="0.2">
      <c r="A10" s="2"/>
      <c r="B10" s="2"/>
      <c r="C10" s="8"/>
      <c r="N10" s="62">
        <f t="shared" ca="1" si="1"/>
        <v>41472</v>
      </c>
      <c r="O10" s="62">
        <f>RTD("cqg.rtd", ,"ContractData",Q10, "ExpirationDate")</f>
        <v>41744</v>
      </c>
      <c r="P10" s="63">
        <f t="shared" ca="1" si="2"/>
        <v>272</v>
      </c>
      <c r="Q10" s="9" t="str">
        <f>RTD("cqg.rtd", ,"ContractData", $Q$1&amp;"?"&amp;R43, "Symbol")</f>
        <v>VXJ4</v>
      </c>
      <c r="R10" s="7" t="str">
        <f>RTD("cqg.rtd", ,"ContractData", Q10, $R$1,,"T")</f>
        <v/>
      </c>
      <c r="S10" s="7" t="str">
        <f>RTD("cqg.rtd", ,"ContractData", Q10,$S$1,,"T")</f>
        <v/>
      </c>
      <c r="T10" s="7" t="str">
        <f>RTD("cqg.rtd", ,"ContractData", Q10,$T$1,,"T")</f>
        <v/>
      </c>
      <c r="U10" s="7" t="str">
        <f>RTD("cqg.rtd", ,"ContractData", "F."&amp;$Q$1&amp;"?9", $U$1,,"T")</f>
        <v/>
      </c>
      <c r="V10" s="7" t="str">
        <f t="shared" si="3"/>
        <v/>
      </c>
      <c r="W10" s="7"/>
      <c r="X10" s="7"/>
      <c r="Y10" s="7"/>
      <c r="Z10" s="7"/>
      <c r="AA10" s="7"/>
      <c r="AB10" s="7" t="str">
        <f t="shared" si="10"/>
        <v/>
      </c>
      <c r="AC10" s="7" t="e">
        <f t="shared" si="8"/>
        <v>#VALUE!</v>
      </c>
      <c r="AD10" s="7">
        <f t="shared" si="4"/>
        <v>0</v>
      </c>
      <c r="AF10" s="3" t="e">
        <f t="shared" si="5"/>
        <v>#N/A</v>
      </c>
      <c r="AG10" s="3">
        <f t="shared" si="9"/>
        <v>0</v>
      </c>
      <c r="AH10" s="3" t="str">
        <f>RIGHT(RTD("cqg.rtd", ,"ContractData",Q10, "LongDescription"),6)</f>
        <v>Apr 14</v>
      </c>
      <c r="AJ10" s="3" t="str">
        <f>RTD("cqg.rtd", ,"ContractData",Q10, "Settlement",,"T")</f>
        <v/>
      </c>
      <c r="AL10" s="3" t="e">
        <f t="shared" si="6"/>
        <v>#N/A</v>
      </c>
      <c r="AN10" s="3" t="str">
        <f>RTD("cqg.rtd",,"StudyData",Q10, "VolOI","OIType=Contract","OI","D","-1","all",,,,"T")</f>
        <v/>
      </c>
      <c r="AO10" s="3" t="str">
        <f>RTD("cqg.rtd",,"StudyData",Q10, "VolOI","OIType=Contract","OI","D","-2","all",,,,"T")</f>
        <v/>
      </c>
      <c r="AP10" s="3" t="e">
        <f t="shared" si="7"/>
        <v>#VALUE!</v>
      </c>
    </row>
    <row r="11" spans="1:42" x14ac:dyDescent="0.2">
      <c r="A11" s="2"/>
      <c r="B11" s="2"/>
      <c r="C11" s="8"/>
      <c r="P11" s="4"/>
      <c r="Q11" s="9"/>
      <c r="R11" s="7"/>
      <c r="S11" s="7"/>
      <c r="T11" s="7"/>
      <c r="U11" s="7"/>
      <c r="V11" s="4"/>
      <c r="W11" s="7"/>
      <c r="X11" s="7"/>
      <c r="Y11" s="7"/>
      <c r="Z11" s="7"/>
      <c r="AA11" s="7"/>
      <c r="AB11" s="7"/>
      <c r="AC11" s="7"/>
      <c r="AD11" s="7"/>
    </row>
    <row r="12" spans="1:42" x14ac:dyDescent="0.2">
      <c r="A12" s="2"/>
      <c r="B12" s="2"/>
      <c r="C12" s="8"/>
      <c r="P12" s="4"/>
      <c r="Q12" s="9"/>
      <c r="R12" s="7"/>
      <c r="S12" s="7"/>
      <c r="T12" s="7"/>
      <c r="U12" s="7"/>
      <c r="V12" s="4"/>
      <c r="W12" s="7"/>
      <c r="X12" s="7"/>
      <c r="Y12" s="7"/>
      <c r="Z12" s="7"/>
      <c r="AA12" s="7"/>
      <c r="AB12" s="7"/>
      <c r="AC12" s="7"/>
      <c r="AD12" s="7"/>
    </row>
    <row r="13" spans="1:42" x14ac:dyDescent="0.2">
      <c r="A13" s="2"/>
      <c r="B13" s="2"/>
      <c r="C13" s="8"/>
      <c r="P13" s="4"/>
      <c r="Q13" s="9"/>
      <c r="R13" s="7"/>
      <c r="S13" s="7"/>
      <c r="T13" s="7"/>
      <c r="U13" s="7"/>
      <c r="V13" s="4"/>
      <c r="W13" s="7"/>
      <c r="X13" s="7"/>
      <c r="Y13" s="7"/>
      <c r="Z13" s="7"/>
      <c r="AA13" s="7"/>
      <c r="AB13" s="7"/>
      <c r="AC13" s="7"/>
      <c r="AD13" s="7"/>
    </row>
    <row r="14" spans="1:42" x14ac:dyDescent="0.2">
      <c r="P14" s="4"/>
      <c r="Q14" s="4">
        <f>RTD("cqg.rtd", ,"ContractData",Q2, "Bate")</f>
        <v>192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42" x14ac:dyDescent="0.2">
      <c r="P15" s="4"/>
      <c r="Q15" s="4">
        <f>RTD("cqg.rtd", ,"ContractData",Q3, "Bate")</f>
        <v>192</v>
      </c>
      <c r="R15" s="4"/>
      <c r="S15" s="4"/>
      <c r="T15" s="4"/>
      <c r="U15" s="4"/>
    </row>
    <row r="16" spans="1:42" x14ac:dyDescent="0.2">
      <c r="Q16" s="3">
        <f>RTD("cqg.rtd", ,"ContractData",Q4, "Bate")</f>
        <v>192</v>
      </c>
    </row>
    <row r="17" spans="17:29" x14ac:dyDescent="0.2">
      <c r="Q17" s="3">
        <f>RTD("cqg.rtd", ,"ContractData",Q5, "Bate")</f>
        <v>192</v>
      </c>
      <c r="AB17" s="10" t="b">
        <f>IF(OR(R9="",R9&lt;S9,R9&gt;T9),(IF(OR(S9="",T9=""),R9,(S9+T9)/2)))</f>
        <v>0</v>
      </c>
      <c r="AC17" s="10"/>
    </row>
    <row r="18" spans="17:29" x14ac:dyDescent="0.2">
      <c r="Q18" s="3">
        <f>RTD("cqg.rtd", ,"ContractData",Q6, "Bate")</f>
        <v>192</v>
      </c>
      <c r="AB18" s="10" t="b">
        <f>IF(OR(R8="",R8&lt;S8,R8&gt;T8),(IF(OR(S8="",T8=""),R8,(S8+T8)/2)))</f>
        <v>0</v>
      </c>
      <c r="AC18" s="10">
        <f>IF(OR(R8="",R8&lt;S8,R8&gt;T8),(S8+T8)/2,R8)</f>
        <v>20.150000000000002</v>
      </c>
    </row>
    <row r="19" spans="17:29" x14ac:dyDescent="0.2">
      <c r="Q19" s="3">
        <f>RTD("cqg.rtd", ,"ContractData",Q7, "Bate")</f>
        <v>208</v>
      </c>
      <c r="V19" s="3" t="s">
        <v>8</v>
      </c>
      <c r="AB19" s="10">
        <f>IF(OR(S8="",T8=""),R8,(IF(OR(R8="",R8&lt;S8,R8&gt;T8),(S8+T8)/2,R8)))</f>
        <v>20.150000000000002</v>
      </c>
      <c r="AC19" s="10"/>
    </row>
    <row r="20" spans="17:29" x14ac:dyDescent="0.2">
      <c r="Q20" s="3">
        <f>RTD("cqg.rtd", ,"ContractData",Q8, "Bate")</f>
        <v>192</v>
      </c>
      <c r="U20" s="11" t="s">
        <v>5</v>
      </c>
      <c r="V20" s="3">
        <f xml:space="preserve"> RTD("cqg.rtd",,"StudyData",Q2, "VolOI",, "Vol",,"","all",,,,"T")</f>
        <v>135314</v>
      </c>
      <c r="AB20" s="10"/>
      <c r="AC20" s="10"/>
    </row>
    <row r="21" spans="17:29" x14ac:dyDescent="0.2">
      <c r="Q21" s="3">
        <f>RTD("cqg.rtd", ,"ContractData",Q9, "Bate")</f>
        <v>224</v>
      </c>
      <c r="U21" s="3">
        <v>-1</v>
      </c>
      <c r="V21" s="3">
        <f xml:space="preserve"> RTD("cqg.rtd",,"StudyData",Q2, "VolOI",, "Vol",,"-1","all",,,,"T")</f>
        <v>187265</v>
      </c>
      <c r="AB21" s="10"/>
      <c r="AC21" s="10"/>
    </row>
    <row r="22" spans="17:29" x14ac:dyDescent="0.2">
      <c r="Q22" s="3">
        <f>RTD("cqg.rtd", ,"ContractData",Q10, "Bate")</f>
        <v>0</v>
      </c>
      <c r="U22" s="3">
        <v>-2</v>
      </c>
      <c r="V22" s="3">
        <f xml:space="preserve"> RTD("cqg.rtd",,"StudyData",Q2, "VolOI",, "Vol",,"-2","all",,,,"T")</f>
        <v>130015</v>
      </c>
      <c r="AB22" s="10"/>
      <c r="AC22" s="10"/>
    </row>
    <row r="23" spans="17:29" x14ac:dyDescent="0.2">
      <c r="V23" s="3">
        <f xml:space="preserve"> RTD("cqg.rtd",,"StudyData",Q2, "VolOI",, "Vol",,"-3","all",,,,"T")</f>
        <v>122585</v>
      </c>
      <c r="AB23" s="10"/>
      <c r="AC23" s="10"/>
    </row>
    <row r="24" spans="17:29" x14ac:dyDescent="0.2">
      <c r="V24" s="3">
        <f xml:space="preserve"> RTD("cqg.rtd",,"StudyData",Q2, "VolOI",, "Vol",,"-4","all",,,,"T")</f>
        <v>156703</v>
      </c>
      <c r="AB24" s="10"/>
      <c r="AC24" s="10"/>
    </row>
    <row r="25" spans="17:29" x14ac:dyDescent="0.2">
      <c r="V25" s="3">
        <f xml:space="preserve"> RTD("cqg.rtd",,"StudyData",Q2, "VolOI",, "Vol",,"-5","all",,,,"T")</f>
        <v>147085</v>
      </c>
    </row>
    <row r="34" spans="18:19" x14ac:dyDescent="0.2">
      <c r="R34" s="3" t="s">
        <v>6</v>
      </c>
    </row>
    <row r="35" spans="18:19" x14ac:dyDescent="0.2">
      <c r="R35" s="3">
        <v>1</v>
      </c>
      <c r="S35" s="3" t="str">
        <f>RTD("cqg.rtd",,"ContractData",Q1&amp;"?1", "Symbol")</f>
        <v>VXQ3</v>
      </c>
    </row>
    <row r="36" spans="18:19" x14ac:dyDescent="0.2">
      <c r="R36" s="3">
        <f>R35+1</f>
        <v>2</v>
      </c>
      <c r="S36" s="3" t="str">
        <f>RTD("cqg.rtd",,"ContractData",Q1&amp;"?2", "Symbol")</f>
        <v>VXU3</v>
      </c>
    </row>
    <row r="37" spans="18:19" x14ac:dyDescent="0.2">
      <c r="R37" s="3">
        <f t="shared" ref="R37:R46" si="11">R36+1</f>
        <v>3</v>
      </c>
    </row>
    <row r="38" spans="18:19" x14ac:dyDescent="0.2">
      <c r="R38" s="3">
        <f t="shared" si="11"/>
        <v>4</v>
      </c>
    </row>
    <row r="39" spans="18:19" x14ac:dyDescent="0.2">
      <c r="R39" s="3">
        <f t="shared" si="11"/>
        <v>5</v>
      </c>
    </row>
    <row r="40" spans="18:19" x14ac:dyDescent="0.2">
      <c r="R40" s="3">
        <f t="shared" si="11"/>
        <v>6</v>
      </c>
    </row>
    <row r="41" spans="18:19" x14ac:dyDescent="0.2">
      <c r="R41" s="3">
        <f t="shared" si="11"/>
        <v>7</v>
      </c>
    </row>
    <row r="42" spans="18:19" x14ac:dyDescent="0.2">
      <c r="R42" s="3">
        <f t="shared" si="11"/>
        <v>8</v>
      </c>
    </row>
    <row r="43" spans="18:19" x14ac:dyDescent="0.2">
      <c r="R43" s="3">
        <f t="shared" si="11"/>
        <v>9</v>
      </c>
    </row>
    <row r="44" spans="18:19" x14ac:dyDescent="0.2">
      <c r="R44" s="3">
        <f t="shared" si="11"/>
        <v>10</v>
      </c>
    </row>
    <row r="45" spans="18:19" x14ac:dyDescent="0.2">
      <c r="R45" s="3">
        <f t="shared" si="11"/>
        <v>11</v>
      </c>
    </row>
    <row r="46" spans="18:19" x14ac:dyDescent="0.2">
      <c r="R46" s="3">
        <f t="shared" si="11"/>
        <v>12</v>
      </c>
    </row>
  </sheetData>
  <sheetProtection algorithmName="SHA-512" hashValue="xhTA5EmZSHl1j0L1vO8tHRlD4mgyj49xYgMCukFAhTyUlGUVp4AyxiqhEF8EO/Oxeuwi9gn0ZtgFXT0dAv5lfA==" saltValue="u8EH0Cnr3k2YW+UCRNO/9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workbookViewId="0">
      <selection activeCell="D2" sqref="D2"/>
    </sheetView>
  </sheetViews>
  <sheetFormatPr defaultColWidth="9" defaultRowHeight="14.25" x14ac:dyDescent="0.2"/>
  <cols>
    <col min="1" max="3" width="9" style="3"/>
    <col min="4" max="4" width="13.875" style="3" customWidth="1"/>
    <col min="5" max="17" width="9" style="3"/>
    <col min="18" max="18" width="14.375" style="3" customWidth="1"/>
    <col min="19" max="20" width="9" style="3"/>
    <col min="21" max="21" width="17.75" style="3" customWidth="1"/>
    <col min="22" max="22" width="9" style="3"/>
    <col min="23" max="23" width="9" style="3" customWidth="1"/>
    <col min="24" max="16384" width="9" style="3"/>
  </cols>
  <sheetData>
    <row r="1" spans="1:30" x14ac:dyDescent="0.2">
      <c r="A1" s="2"/>
      <c r="B1" s="2"/>
      <c r="C1" s="2"/>
      <c r="P1" s="4"/>
      <c r="Q1" s="5"/>
      <c r="R1" s="6"/>
      <c r="S1" s="6"/>
      <c r="T1" s="6"/>
      <c r="U1" s="4"/>
      <c r="V1" s="4"/>
      <c r="W1" s="6"/>
      <c r="X1" s="4"/>
      <c r="Y1" s="6"/>
      <c r="Z1" s="6"/>
      <c r="AA1" s="4"/>
      <c r="AB1" s="4"/>
      <c r="AC1" s="7"/>
      <c r="AD1" s="4"/>
    </row>
    <row r="2" spans="1:30" x14ac:dyDescent="0.2">
      <c r="A2" s="2"/>
      <c r="B2" s="2" t="str">
        <f>FVS!Q2</f>
        <v>FVSN3</v>
      </c>
      <c r="C2" s="8" t="str">
        <f>VX!Q2</f>
        <v>VXQ3</v>
      </c>
      <c r="D2" s="3" t="e">
        <f>IF(RTD("cqg.rtd",,"StudyData",B2,  "Bar",, "Close", "180","0",,"VIXVSTOXX",,,"T")="",#N/A,RTD("cqg.rtd",,"StudyData",B2,  "Bar",, "Close", "180","0",,"VIXVSTOXX",,,"T"))</f>
        <v>#N/A</v>
      </c>
      <c r="E2" s="3">
        <f>IF(RTD("cqg.rtd",,"StudyData",C2,  "Bar",, "Close", "180","0",,"VIXVSTOXX",,,"T")="",#N/A,RTD("cqg.rtd",,"StudyData",C2,  "Bar",, "Close", "180","0",,"VIXVSTOXX",,,"T"))</f>
        <v>15.95</v>
      </c>
      <c r="F2" s="3" t="e">
        <f>D2-E2</f>
        <v>#N/A</v>
      </c>
      <c r="H2" s="3" t="str">
        <f>RIGHT(RTD("cqg.rtd", ,"ContractData",B2, "LongDescription"),6)</f>
        <v>Jul 13</v>
      </c>
      <c r="P2" s="4"/>
      <c r="Q2" s="9"/>
      <c r="R2" s="7"/>
      <c r="S2" s="7"/>
      <c r="T2" s="7"/>
      <c r="U2" s="7"/>
      <c r="V2" s="4"/>
      <c r="W2" s="7"/>
      <c r="X2" s="7"/>
      <c r="Y2" s="7"/>
      <c r="Z2" s="7"/>
      <c r="AA2" s="7"/>
      <c r="AB2" s="7"/>
      <c r="AC2" s="7"/>
      <c r="AD2" s="7"/>
    </row>
    <row r="3" spans="1:30" x14ac:dyDescent="0.2">
      <c r="A3" s="2"/>
      <c r="B3" s="2" t="str">
        <f>FVS!Q3</f>
        <v>FVSQ3</v>
      </c>
      <c r="C3" s="8" t="str">
        <f>VX!Q3</f>
        <v>VXU3</v>
      </c>
      <c r="D3" s="3">
        <f>IF(RTD("cqg.rtd",,"StudyData",B3,  "Bar",, "Close", "180","0",,"VIXVSTOXX",,,"T")="",#N/A,RTD("cqg.rtd",,"StudyData",B3,  "Bar",, "Close", "180","0",,"VIXVSTOXX",,,"T"))</f>
        <v>20.65</v>
      </c>
      <c r="E3" s="3">
        <f>IF(RTD("cqg.rtd",,"StudyData",C3,  "Bar",, "Close", "180","0",,"VIXVSTOXX",,,"T")="",#N/A,RTD("cqg.rtd",,"StudyData",C3,  "Bar",, "Close", "180","0",,"VIXVSTOXX",,,"T"))</f>
        <v>17.2</v>
      </c>
      <c r="F3" s="3">
        <f t="shared" ref="F3:F9" si="0">D3-E3</f>
        <v>3.4499999999999993</v>
      </c>
      <c r="H3" s="3" t="str">
        <f>RIGHT(RTD("cqg.rtd", ,"ContractData",B3, "LongDescription"),6)</f>
        <v>Aug 13</v>
      </c>
      <c r="P3" s="4"/>
      <c r="Q3" s="9"/>
      <c r="R3" s="7"/>
      <c r="S3" s="7"/>
      <c r="T3" s="7"/>
      <c r="U3" s="7"/>
      <c r="V3" s="4"/>
      <c r="W3" s="7"/>
      <c r="X3" s="7"/>
      <c r="Y3" s="7"/>
      <c r="Z3" s="7"/>
      <c r="AA3" s="7"/>
      <c r="AB3" s="7"/>
      <c r="AC3" s="7"/>
      <c r="AD3" s="7"/>
    </row>
    <row r="4" spans="1:30" x14ac:dyDescent="0.2">
      <c r="A4" s="2"/>
      <c r="B4" s="2" t="str">
        <f>FVS!Q4</f>
        <v>FVSU3</v>
      </c>
      <c r="C4" s="8" t="str">
        <f>VX!Q4</f>
        <v>VXV3</v>
      </c>
      <c r="D4" s="3">
        <f>IF(RTD("cqg.rtd",,"StudyData",B4,  "Bar",, "Close", "180","0",,"VIXVSTOXX",,,"T")="",#N/A,RTD("cqg.rtd",,"StudyData",B4,  "Bar",, "Close", "180","0",,"VIXVSTOXX",,,"T"))</f>
        <v>21.55</v>
      </c>
      <c r="E4" s="3">
        <f>IF(RTD("cqg.rtd",,"StudyData",C4,  "Bar",, "Close", "180","0",,"VIXVSTOXX",,,"T")="",#N/A,RTD("cqg.rtd",,"StudyData",C4,  "Bar",, "Close", "180","0",,"VIXVSTOXX",,,"T"))</f>
        <v>18.100000000000001</v>
      </c>
      <c r="F4" s="3">
        <f t="shared" si="0"/>
        <v>3.4499999999999993</v>
      </c>
      <c r="H4" s="3" t="str">
        <f>RIGHT(RTD("cqg.rtd", ,"ContractData",B4, "LongDescription"),6)</f>
        <v>Sep 13</v>
      </c>
      <c r="P4" s="4"/>
      <c r="Q4" s="9"/>
      <c r="R4" s="7"/>
      <c r="S4" s="7"/>
      <c r="T4" s="7"/>
      <c r="U4" s="7"/>
      <c r="V4" s="4"/>
      <c r="W4" s="7"/>
      <c r="X4" s="7"/>
      <c r="Y4" s="7"/>
      <c r="Z4" s="7"/>
      <c r="AA4" s="7"/>
      <c r="AB4" s="7"/>
      <c r="AC4" s="7"/>
      <c r="AD4" s="7"/>
    </row>
    <row r="5" spans="1:30" x14ac:dyDescent="0.2">
      <c r="A5" s="2"/>
      <c r="B5" s="2" t="str">
        <f>FVS!Q5</f>
        <v>FVSV3</v>
      </c>
      <c r="C5" s="8" t="str">
        <f>VX!Q5</f>
        <v>VXX3</v>
      </c>
      <c r="D5" s="3">
        <f>IF(RTD("cqg.rtd",,"StudyData",B5,  "Bar",, "Close", "180","0",,"VIXVSTOXX",,,"T")="",#N/A,RTD("cqg.rtd",,"StudyData",B5,  "Bar",, "Close", "180","0",,"VIXVSTOXX",,,"T"))</f>
        <v>22.1</v>
      </c>
      <c r="E5" s="3">
        <f>IF(RTD("cqg.rtd",,"StudyData",C5,  "Bar",, "Close", "180","0",,"VIXVSTOXX",,,"T")="",#N/A,RTD("cqg.rtd",,"StudyData",C5,  "Bar",, "Close", "180","0",,"VIXVSTOXX",,,"T"))</f>
        <v>18.7</v>
      </c>
      <c r="F5" s="3">
        <f t="shared" si="0"/>
        <v>3.4000000000000021</v>
      </c>
      <c r="H5" s="3" t="str">
        <f>RIGHT(RTD("cqg.rtd", ,"ContractData",B5, "LongDescription"),6)</f>
        <v>Oct 13</v>
      </c>
      <c r="P5" s="4"/>
      <c r="Q5" s="9"/>
      <c r="R5" s="7"/>
      <c r="S5" s="7"/>
      <c r="T5" s="7"/>
      <c r="U5" s="7"/>
      <c r="V5" s="4"/>
      <c r="W5" s="7"/>
      <c r="X5" s="7"/>
      <c r="Y5" s="7"/>
      <c r="Z5" s="7"/>
      <c r="AA5" s="7"/>
      <c r="AB5" s="7"/>
      <c r="AC5" s="7"/>
      <c r="AD5" s="7"/>
    </row>
    <row r="6" spans="1:30" x14ac:dyDescent="0.2">
      <c r="A6" s="2"/>
      <c r="B6" s="2" t="str">
        <f>FVS!Q6</f>
        <v>FVSX3</v>
      </c>
      <c r="C6" s="8" t="str">
        <f>VX!Q6</f>
        <v>VXZ3</v>
      </c>
      <c r="D6" s="3">
        <f>IF(RTD("cqg.rtd",,"StudyData",B6,  "Bar",, "Close", "180","0",,"VIXVSTOXX",,,"T")="",#N/A,RTD("cqg.rtd",,"StudyData",B6,  "Bar",, "Close", "180","0",,"VIXVSTOXX",,,"T"))</f>
        <v>22.8</v>
      </c>
      <c r="E6" s="3">
        <f>IF(RTD("cqg.rtd",,"StudyData",C6,  "Bar",, "Close", "180","0",,"VIXVSTOXX",,,"T")="",#N/A,RTD("cqg.rtd",,"StudyData",C6,  "Bar",, "Close", "180","0",,"VIXVSTOXX",,,"T"))</f>
        <v>19.100000000000001</v>
      </c>
      <c r="F6" s="3">
        <f t="shared" si="0"/>
        <v>3.6999999999999993</v>
      </c>
      <c r="H6" s="3" t="str">
        <f>RIGHT(RTD("cqg.rtd", ,"ContractData",B6, "LongDescription"),6)</f>
        <v>Nov 13</v>
      </c>
      <c r="J6" s="3">
        <f>RTD("cqg.rtd",,"StudyData",B3,  "Bar",, "Close", "180","0",,"VIXVSTOXX",,,"T")</f>
        <v>20.65</v>
      </c>
      <c r="P6" s="4"/>
      <c r="Q6" s="9"/>
      <c r="R6" s="7"/>
      <c r="S6" s="7"/>
      <c r="T6" s="7"/>
      <c r="U6" s="7"/>
      <c r="V6" s="4"/>
      <c r="W6" s="7"/>
      <c r="X6" s="7"/>
      <c r="Y6" s="7"/>
      <c r="Z6" s="7"/>
      <c r="AA6" s="7"/>
      <c r="AB6" s="7"/>
      <c r="AC6" s="7"/>
      <c r="AD6" s="7"/>
    </row>
    <row r="7" spans="1:30" x14ac:dyDescent="0.2">
      <c r="A7" s="2"/>
      <c r="B7" s="2" t="str">
        <f>FVS!Q7</f>
        <v>FVSZ3</v>
      </c>
      <c r="C7" s="8" t="str">
        <f>VX!Q7</f>
        <v>VXF4</v>
      </c>
      <c r="D7" s="3" t="e">
        <f>IF(RTD("cqg.rtd",,"StudyData",B7,  "Bar",, "Close", "180","0",,"VIXVSTOXX",,,"T")="",#N/A,RTD("cqg.rtd",,"StudyData",B7,  "Bar",, "Close", "180","0",,"VIXVSTOXX",,,"T"))</f>
        <v>#N/A</v>
      </c>
      <c r="E7" s="3">
        <f>IF(RTD("cqg.rtd",,"StudyData",C7,  "Bar",, "Close", "180","0",,"VIXVSTOXX",,,"T")="",#N/A,RTD("cqg.rtd",,"StudyData",C7,  "Bar",, "Close", "180","0",,"VIXVSTOXX",,,"T"))</f>
        <v>19.850000000000001</v>
      </c>
      <c r="F7" s="3" t="e">
        <f t="shared" si="0"/>
        <v>#N/A</v>
      </c>
      <c r="H7" s="3" t="str">
        <f>RIGHT(RTD("cqg.rtd", ,"ContractData",B7, "LongDescription"),6)</f>
        <v>Dec 13</v>
      </c>
      <c r="P7" s="4"/>
      <c r="Q7" s="9"/>
      <c r="R7" s="7"/>
      <c r="S7" s="7"/>
      <c r="T7" s="7"/>
      <c r="U7" s="7"/>
      <c r="V7" s="4"/>
      <c r="W7" s="7"/>
      <c r="X7" s="7"/>
      <c r="Y7" s="7"/>
      <c r="Z7" s="7"/>
      <c r="AA7" s="7"/>
      <c r="AB7" s="7"/>
      <c r="AC7" s="7"/>
      <c r="AD7" s="7"/>
    </row>
    <row r="8" spans="1:30" x14ac:dyDescent="0.2">
      <c r="A8" s="2"/>
      <c r="B8" s="2" t="str">
        <f>FVS!Q8</f>
        <v>FVSF4</v>
      </c>
      <c r="C8" s="8" t="str">
        <f>VX!Q8</f>
        <v>VXG4</v>
      </c>
      <c r="D8" s="3" t="e">
        <f>IF(RTD("cqg.rtd",,"StudyData",B8,  "Bar",, "Close", "180","0",,"VIXVSTOXX",,,"T")="",#N/A,RTD("cqg.rtd",,"StudyData",B8,  "Bar",, "Close", "180","0",,"VIXVSTOXX",,,"T"))</f>
        <v>#N/A</v>
      </c>
      <c r="E8" s="3">
        <f>IF(RTD("cqg.rtd",,"StudyData",C8,  "Bar",, "Close", "180","0",,"VIXVSTOXX",,,"T")="",#N/A,RTD("cqg.rtd",,"StudyData",C8,  "Bar",, "Close", "180","0",,"VIXVSTOXX",,,"T"))</f>
        <v>20.3</v>
      </c>
      <c r="F8" s="3" t="e">
        <f t="shared" si="0"/>
        <v>#N/A</v>
      </c>
      <c r="H8" s="3" t="str">
        <f>RIGHT(RTD("cqg.rtd", ,"ContractData",B8, "LongDescription"),6)</f>
        <v>Jan 14</v>
      </c>
      <c r="P8" s="4"/>
      <c r="Q8" s="9"/>
      <c r="R8" s="7"/>
      <c r="S8" s="7"/>
      <c r="T8" s="7"/>
      <c r="U8" s="7"/>
      <c r="V8" s="4"/>
      <c r="W8" s="7"/>
      <c r="X8" s="7"/>
      <c r="Y8" s="7"/>
      <c r="Z8" s="7"/>
      <c r="AA8" s="7"/>
      <c r="AB8" s="7"/>
      <c r="AC8" s="7"/>
      <c r="AD8" s="7"/>
    </row>
    <row r="9" spans="1:30" x14ac:dyDescent="0.2">
      <c r="A9" s="2"/>
      <c r="B9" s="2" t="str">
        <f>FVS!Q9</f>
        <v>FVSG4</v>
      </c>
      <c r="C9" s="8" t="str">
        <f>VX!Q9</f>
        <v>VXH4</v>
      </c>
      <c r="D9" s="3" t="e">
        <f>IF(RTD("cqg.rtd",,"StudyData",B9,  "Bar",, "Close", "180","0",,"VIXVSTOXX",,,"T")="",#N/A,RTD("cqg.rtd",,"StudyData",B9,  "Bar",, "Close", "180","0",,"VIXVSTOXX",,,"T"))</f>
        <v>#N/A</v>
      </c>
      <c r="E9" s="3">
        <f>IF(RTD("cqg.rtd",,"StudyData",C9,  "Bar",, "Close", "180","0",,"VIXVSTOXX",,,"T")="",#N/A,RTD("cqg.rtd",,"StudyData",C9,  "Bar",, "Close", "180","0",,"VIXVSTOXX",,,"T"))</f>
        <v>20.58</v>
      </c>
      <c r="F9" s="3" t="e">
        <f t="shared" si="0"/>
        <v>#N/A</v>
      </c>
      <c r="H9" s="3" t="str">
        <f>RIGHT(RTD("cqg.rtd", ,"ContractData",B9, "LongDescription"),6)</f>
        <v>Feb 14</v>
      </c>
      <c r="P9" s="4"/>
      <c r="Q9" s="9"/>
      <c r="R9" s="7"/>
      <c r="S9" s="7"/>
      <c r="T9" s="7"/>
      <c r="U9" s="7"/>
      <c r="V9" s="4"/>
      <c r="W9" s="7"/>
      <c r="X9" s="7"/>
      <c r="Y9" s="7"/>
      <c r="Z9" s="7"/>
      <c r="AA9" s="7"/>
      <c r="AB9" s="7"/>
      <c r="AC9" s="7"/>
      <c r="AD9" s="7"/>
    </row>
    <row r="10" spans="1:30" x14ac:dyDescent="0.2">
      <c r="A10" s="2"/>
      <c r="B10" s="2"/>
      <c r="C10" s="8"/>
      <c r="P10" s="4"/>
      <c r="Q10" s="9"/>
      <c r="R10" s="7"/>
      <c r="S10" s="7"/>
      <c r="T10" s="7"/>
      <c r="U10" s="7"/>
      <c r="V10" s="4"/>
      <c r="W10" s="7"/>
      <c r="X10" s="7"/>
      <c r="Y10" s="7"/>
      <c r="Z10" s="7"/>
      <c r="AA10" s="7"/>
      <c r="AB10" s="7"/>
      <c r="AC10" s="7"/>
      <c r="AD10" s="7"/>
    </row>
    <row r="11" spans="1:30" x14ac:dyDescent="0.2">
      <c r="A11" s="2"/>
      <c r="B11" s="2"/>
      <c r="C11" s="8"/>
      <c r="D11" s="3">
        <f>IF(RTD("cqg.rtd",,"StudyData",B6,  "Bar",, "Close", "180","-1",,"VIXVSTOXX",,,"T")="",1,0)</f>
        <v>0</v>
      </c>
      <c r="P11" s="4"/>
      <c r="Q11" s="9"/>
      <c r="R11" s="7"/>
      <c r="S11" s="7"/>
      <c r="T11" s="7"/>
      <c r="U11" s="7"/>
      <c r="V11" s="4"/>
      <c r="W11" s="7"/>
      <c r="X11" s="7"/>
      <c r="Y11" s="7"/>
      <c r="Z11" s="7"/>
      <c r="AA11" s="7"/>
      <c r="AB11" s="7"/>
      <c r="AC11" s="7"/>
      <c r="AD11" s="7"/>
    </row>
    <row r="12" spans="1:30" x14ac:dyDescent="0.2">
      <c r="A12" s="2"/>
      <c r="B12" s="2"/>
      <c r="C12" s="8"/>
      <c r="D12" s="3">
        <f>IF(RTD("cqg.rtd",,"StudyData",B2,  "Bar",, "Close", "180","-1",,"VIXVSTOXX",,,"T")="",#N/A,RTD("cqg.rtd",,"StudyData",B2,  "Bar",, "Close", "180","-1",,"VIXVSTOXX",,,"T"))</f>
        <v>19.2</v>
      </c>
      <c r="P12" s="4"/>
      <c r="Q12" s="9"/>
      <c r="R12" s="7"/>
      <c r="S12" s="7"/>
      <c r="T12" s="7"/>
      <c r="U12" s="7"/>
      <c r="V12" s="4"/>
      <c r="W12" s="7"/>
      <c r="X12" s="7"/>
      <c r="Y12" s="7"/>
      <c r="Z12" s="7"/>
      <c r="AA12" s="7"/>
      <c r="AB12" s="7"/>
      <c r="AC12" s="7"/>
      <c r="AD12" s="7"/>
    </row>
    <row r="13" spans="1:30" x14ac:dyDescent="0.2">
      <c r="A13" s="2"/>
      <c r="B13" s="2"/>
      <c r="C13" s="8"/>
      <c r="P13" s="4"/>
      <c r="Q13" s="9"/>
      <c r="R13" s="7"/>
      <c r="S13" s="7"/>
      <c r="T13" s="7"/>
      <c r="U13" s="7"/>
      <c r="V13" s="4"/>
      <c r="W13" s="7"/>
      <c r="X13" s="7"/>
      <c r="Y13" s="7"/>
      <c r="Z13" s="7"/>
      <c r="AA13" s="7"/>
      <c r="AB13" s="7"/>
      <c r="AC13" s="7"/>
      <c r="AD13" s="7"/>
    </row>
    <row r="14" spans="1:30" x14ac:dyDescent="0.2"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2">
      <c r="P15" s="4"/>
      <c r="Q15" s="4"/>
      <c r="R15" s="4"/>
      <c r="S15" s="4"/>
      <c r="T15" s="4"/>
      <c r="U15" s="4"/>
    </row>
    <row r="17" spans="21:29" x14ac:dyDescent="0.2">
      <c r="AB17" s="10"/>
      <c r="AC17" s="10"/>
    </row>
    <row r="18" spans="21:29" x14ac:dyDescent="0.2">
      <c r="AB18" s="10"/>
      <c r="AC18" s="10"/>
    </row>
    <row r="19" spans="21:29" x14ac:dyDescent="0.2">
      <c r="AB19" s="10"/>
      <c r="AC19" s="10"/>
    </row>
    <row r="20" spans="21:29" x14ac:dyDescent="0.2">
      <c r="U20" s="11"/>
      <c r="AB20" s="10"/>
      <c r="AC20" s="10"/>
    </row>
    <row r="21" spans="21:29" x14ac:dyDescent="0.2">
      <c r="AB21" s="10"/>
      <c r="AC21" s="10"/>
    </row>
    <row r="22" spans="21:29" x14ac:dyDescent="0.2">
      <c r="AB22" s="10"/>
      <c r="AC22" s="10"/>
    </row>
    <row r="23" spans="21:29" x14ac:dyDescent="0.2">
      <c r="AB23" s="10"/>
      <c r="AC23" s="10"/>
    </row>
    <row r="24" spans="21:29" x14ac:dyDescent="0.2">
      <c r="AB24" s="10"/>
      <c r="AC24" s="10"/>
    </row>
  </sheetData>
  <sheetProtection algorithmName="SHA-512" hashValue="MIwSxOfbWnR8/ZYXoYzD1hZ5XJPi5aTF0Oa3svQ3xvspsbf3ZBRVC9os7vl8ADEnIK7TJyCLxdrDwtDzutglqA==" saltValue="+i6p4Q23qhQIK8PMjHurn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X31"/>
  <sheetViews>
    <sheetView topLeftCell="H1" workbookViewId="0">
      <selection activeCell="P20" sqref="P20"/>
    </sheetView>
  </sheetViews>
  <sheetFormatPr defaultRowHeight="14.25" x14ac:dyDescent="0.2"/>
  <cols>
    <col min="7" max="7" width="9.375" bestFit="1" customWidth="1"/>
    <col min="15" max="15" width="9.625" customWidth="1"/>
    <col min="24" max="24" width="13.75" customWidth="1"/>
  </cols>
  <sheetData>
    <row r="1" spans="2:24" x14ac:dyDescent="0.2">
      <c r="P1" t="s">
        <v>33</v>
      </c>
      <c r="R1" t="s">
        <v>32</v>
      </c>
      <c r="S1" t="s">
        <v>24</v>
      </c>
      <c r="T1" t="s">
        <v>25</v>
      </c>
      <c r="U1" t="s">
        <v>26</v>
      </c>
      <c r="V1" t="s">
        <v>30</v>
      </c>
      <c r="W1" t="s">
        <v>31</v>
      </c>
    </row>
    <row r="2" spans="2:24" x14ac:dyDescent="0.2">
      <c r="B2" s="136"/>
      <c r="C2" s="136"/>
      <c r="D2" s="136"/>
      <c r="E2" s="136"/>
      <c r="G2" s="137"/>
      <c r="I2" t="str">
        <f>RTD("cqg.rtd", ,"ContractData", "FVS?1", "ContractMonth")</f>
        <v>JUL</v>
      </c>
      <c r="J2" s="136" t="str">
        <f>RTD("cqg.rtd", ,"ContractData", "VX?1", "ContractMonth")</f>
        <v>AUG</v>
      </c>
      <c r="K2" s="136">
        <f>IF(I2=J2,0,1)</f>
        <v>1</v>
      </c>
      <c r="L2" s="136"/>
      <c r="M2" s="136"/>
      <c r="O2" s="137"/>
      <c r="R2">
        <v>0</v>
      </c>
      <c r="S2" s="136">
        <f xml:space="preserve"> RTD("cqg.rtd",,"StudyData","Consolidate(FVS?1-VX?1,5X,FVS?1-VX?1,1,0)",  "Bar",, "Open", "D",R2,,,,,"T")</f>
        <v>3.15</v>
      </c>
      <c r="T2" s="136">
        <f xml:space="preserve"> RTD("cqg.rtd",,"StudyData","Consolidate(FVS?1-VX?1,5X,FVS?1-VX?1,1,0)",  "Bar",, "High", "D",R2,,,,,"T")</f>
        <v>4.24</v>
      </c>
      <c r="U2" s="136">
        <f xml:space="preserve"> RTD("cqg.rtd",,"StudyData","Consolidate(FVS?1-VX?1,5X,FVS?1-VX?1,1,0)",  "Bar",, "Low", "D",R2,,,,,"T")</f>
        <v>3.12</v>
      </c>
      <c r="V2" s="136">
        <f xml:space="preserve"> RTD("cqg.rtd",,"StudyData","Consolidate(FVS?1-VX?1,5X,FVS?1-VX?1,1,0)",  "Bar",, "Last", "D",R2,,,,,"T")</f>
        <v>4.24</v>
      </c>
      <c r="X2" s="137">
        <f xml:space="preserve"> RTD("cqg.rtd",,"StudyData",$R$1,"Bar",,"Time","D",R2,"all",,,"False")</f>
        <v>41472</v>
      </c>
    </row>
    <row r="3" spans="2:24" x14ac:dyDescent="0.2">
      <c r="B3" s="136"/>
      <c r="C3" s="136"/>
      <c r="D3" s="136"/>
      <c r="E3" s="136"/>
      <c r="G3" s="137"/>
      <c r="J3" s="136"/>
      <c r="K3" s="136"/>
      <c r="L3" s="136"/>
      <c r="M3" s="136"/>
      <c r="O3" s="137"/>
      <c r="R3">
        <f>R2-1</f>
        <v>-1</v>
      </c>
      <c r="S3" s="136">
        <f xml:space="preserve"> RTD("cqg.rtd",,"StudyData","Consolidate(FVS?1-VX?1,5X,FVS?1-VX?1,1,0)",  "Bar",, "Open", "D",R3,,,,,"T")</f>
        <v>3.55</v>
      </c>
      <c r="T3" s="136">
        <f xml:space="preserve"> RTD("cqg.rtd",,"StudyData","Consolidate(FVS?1-VX?1,5X,FVS?1-VX?1,1,0)",  "Bar",, "High", "D",R3,,,,,"T")</f>
        <v>3.64</v>
      </c>
      <c r="U3" s="136">
        <f xml:space="preserve"> RTD("cqg.rtd",,"StudyData","Consolidate(FVS?1-VX?1,5X,FVS?1-VX?1,1,0)",  "Bar",, "Low", "D",R3,,,,,"T")</f>
        <v>3</v>
      </c>
      <c r="V3" s="136">
        <f xml:space="preserve"> RTD("cqg.rtd",,"StudyData","Consolidate(FVS?1-VX?1,5X,FVS?1-VX?1,1,0)",  "Bar",, "Last", "D",R3,,,,,"T")</f>
        <v>3</v>
      </c>
      <c r="X3" s="137">
        <f xml:space="preserve"> RTD("cqg.rtd",,"StudyData",$R$1,"Bar",,"Time","D",R3,"all",,,"False")</f>
        <v>41471</v>
      </c>
    </row>
    <row r="4" spans="2:24" x14ac:dyDescent="0.2">
      <c r="B4" s="136"/>
      <c r="C4" s="136"/>
      <c r="D4" s="136"/>
      <c r="E4" s="136"/>
      <c r="G4" s="137"/>
      <c r="J4" s="136"/>
      <c r="K4" s="136"/>
      <c r="L4" s="136"/>
      <c r="M4" s="136"/>
      <c r="O4" s="137"/>
      <c r="R4">
        <f t="shared" ref="R4:R31" si="0">R3-1</f>
        <v>-2</v>
      </c>
      <c r="S4" s="136">
        <f xml:space="preserve"> RTD("cqg.rtd",,"StudyData","Consolidate(FVS?1-VX?1,5X,FVS?1-VX?1,1,0)",  "Bar",, "Open", "D",R4,,,,,"T")</f>
        <v>3.5</v>
      </c>
      <c r="T4" s="136">
        <f xml:space="preserve"> RTD("cqg.rtd",,"StudyData","Consolidate(FVS?1-VX?1,5X,FVS?1-VX?1,1,0)",  "Bar",, "High", "D",R4,,,,,"T")</f>
        <v>3.63</v>
      </c>
      <c r="U4" s="136">
        <f xml:space="preserve"> RTD("cqg.rtd",,"StudyData","Consolidate(FVS?1-VX?1,5X,FVS?1-VX?1,1,0)",  "Bar",, "Low", "D",R4,,,,,"T")</f>
        <v>3.45</v>
      </c>
      <c r="V4" s="136">
        <f xml:space="preserve"> RTD("cqg.rtd",,"StudyData","Consolidate(FVS?1-VX?1,5X,FVS?1-VX?1,1,0)",  "Bar",, "Last", "D",R4,,,,,"T")</f>
        <v>3.6</v>
      </c>
      <c r="X4" s="137">
        <f xml:space="preserve"> RTD("cqg.rtd",,"StudyData",$R$1,"Bar",,"Time","D",R4,"all",,,"False")</f>
        <v>41470</v>
      </c>
    </row>
    <row r="5" spans="2:24" x14ac:dyDescent="0.2">
      <c r="B5" s="136"/>
      <c r="C5" s="136"/>
      <c r="D5" s="136"/>
      <c r="E5" s="136"/>
      <c r="G5" s="137"/>
      <c r="J5" s="136"/>
      <c r="K5" s="136"/>
      <c r="L5" s="136"/>
      <c r="M5" s="136"/>
      <c r="O5" s="137"/>
      <c r="R5">
        <f t="shared" si="0"/>
        <v>-3</v>
      </c>
      <c r="S5" s="136">
        <f xml:space="preserve"> RTD("cqg.rtd",,"StudyData","Consolidate(FVS?1-VX?1,5X,FVS?1-VX?1,1,0)",  "Bar",, "Open", "D",R5,,,,,"T")</f>
        <v>3.55</v>
      </c>
      <c r="T5" s="136">
        <f xml:space="preserve"> RTD("cqg.rtd",,"StudyData","Consolidate(FVS?1-VX?1,5X,FVS?1-VX?1,1,0)",  "Bar",, "High", "D",R5,,,,,"T")</f>
        <v>3.83</v>
      </c>
      <c r="U5" s="136">
        <f xml:space="preserve"> RTD("cqg.rtd",,"StudyData","Consolidate(FVS?1-VX?1,5X,FVS?1-VX?1,1,0)",  "Bar",, "Low", "D",R5,,,,,"T")</f>
        <v>3.53</v>
      </c>
      <c r="V5" s="136">
        <f xml:space="preserve"> RTD("cqg.rtd",,"StudyData","Consolidate(FVS?1-VX?1,5X,FVS?1-VX?1,1,0)",  "Bar",, "Last", "D",R5,,,,,"T")</f>
        <v>3.7</v>
      </c>
      <c r="X5" s="137">
        <f xml:space="preserve"> RTD("cqg.rtd",,"StudyData",$R$1,"Bar",,"Time","D",R5,"all",,,"False")</f>
        <v>41467</v>
      </c>
    </row>
    <row r="6" spans="2:24" x14ac:dyDescent="0.2">
      <c r="B6" s="136"/>
      <c r="C6" s="136"/>
      <c r="D6" s="136"/>
      <c r="E6" s="136"/>
      <c r="G6" s="137"/>
      <c r="J6" s="136"/>
      <c r="K6" s="136"/>
      <c r="L6" s="136"/>
      <c r="M6" s="136"/>
      <c r="O6" s="137"/>
      <c r="R6">
        <f t="shared" si="0"/>
        <v>-4</v>
      </c>
      <c r="S6" s="136">
        <f xml:space="preserve"> RTD("cqg.rtd",,"StudyData","Consolidate(FVS?1-VX?1,5X,FVS?1-VX?1,1,0)",  "Bar",, "Open", "D",R6,,,,,"T")</f>
        <v>3.95</v>
      </c>
      <c r="T6" s="136">
        <f xml:space="preserve"> RTD("cqg.rtd",,"StudyData","Consolidate(FVS?1-VX?1,5X,FVS?1-VX?1,1,0)",  "Bar",, "High", "D",R6,,,,,"T")</f>
        <v>4.2</v>
      </c>
      <c r="U6" s="136">
        <f xml:space="preserve"> RTD("cqg.rtd",,"StudyData","Consolidate(FVS?1-VX?1,5X,FVS?1-VX?1,1,0)",  "Bar",, "Low", "D",R6,,,,,"T")</f>
        <v>3.85</v>
      </c>
      <c r="V6" s="136">
        <f xml:space="preserve"> RTD("cqg.rtd",,"StudyData","Consolidate(FVS?1-VX?1,5X,FVS?1-VX?1,1,0)",  "Bar",, "Last", "D",R6,,,,,"T")</f>
        <v>3.85</v>
      </c>
      <c r="X6" s="137">
        <f xml:space="preserve"> RTD("cqg.rtd",,"StudyData",$R$1,"Bar",,"Time","D",R6,"all",,,"False")</f>
        <v>41466</v>
      </c>
    </row>
    <row r="7" spans="2:24" x14ac:dyDescent="0.2">
      <c r="B7" s="136"/>
      <c r="C7" s="136"/>
      <c r="D7" s="136"/>
      <c r="E7" s="136"/>
      <c r="G7" s="137"/>
      <c r="J7" s="136"/>
      <c r="K7" s="136"/>
      <c r="L7" s="136"/>
      <c r="M7" s="136"/>
      <c r="O7" s="137"/>
      <c r="R7">
        <f t="shared" si="0"/>
        <v>-5</v>
      </c>
      <c r="S7" s="136">
        <f xml:space="preserve"> RTD("cqg.rtd",,"StudyData","Consolidate(FVS?1-VX?1,5X,FVS?1-VX?1,1,0)",  "Bar",, "Open", "D",R7,,,,,"T")</f>
        <v>4.67</v>
      </c>
      <c r="T7" s="136">
        <f xml:space="preserve"> RTD("cqg.rtd",,"StudyData","Consolidate(FVS?1-VX?1,5X,FVS?1-VX?1,1,0)",  "Bar",, "High", "D",R7,,,,,"T")</f>
        <v>4.74</v>
      </c>
      <c r="U7" s="136">
        <f xml:space="preserve"> RTD("cqg.rtd",,"StudyData","Consolidate(FVS?1-VX?1,5X,FVS?1-VX?1,1,0)",  "Bar",, "Low", "D",R7,,,,,"T")</f>
        <v>4.4400000000000004</v>
      </c>
      <c r="V7" s="136">
        <f xml:space="preserve"> RTD("cqg.rtd",,"StudyData","Consolidate(FVS?1-VX?1,5X,FVS?1-VX?1,1,0)",  "Bar",, "Last", "D",R7,,,,,"T")</f>
        <v>4.6500000000000004</v>
      </c>
      <c r="X7" s="137">
        <f xml:space="preserve"> RTD("cqg.rtd",,"StudyData",$R$1,"Bar",,"Time","D",R7,"all",,,"False")</f>
        <v>41465</v>
      </c>
    </row>
    <row r="8" spans="2:24" x14ac:dyDescent="0.2">
      <c r="B8" s="136"/>
      <c r="C8" s="136"/>
      <c r="D8" s="136"/>
      <c r="E8" s="136"/>
      <c r="G8" s="137"/>
      <c r="J8" s="136"/>
      <c r="K8" s="136"/>
      <c r="L8" s="136"/>
      <c r="M8" s="136"/>
      <c r="O8" s="137"/>
      <c r="R8">
        <f t="shared" si="0"/>
        <v>-6</v>
      </c>
      <c r="S8" s="136">
        <f xml:space="preserve"> RTD("cqg.rtd",,"StudyData","Consolidate(FVS?1-VX?1,5X,FVS?1-VX?1,1,0)",  "Bar",, "Open", "D",R8,,,,,"T")</f>
        <v>4.82</v>
      </c>
      <c r="T8" s="136">
        <f xml:space="preserve"> RTD("cqg.rtd",,"StudyData","Consolidate(FVS?1-VX?1,5X,FVS?1-VX?1,1,0)",  "Bar",, "High", "D",R8,,,,,"T")</f>
        <v>5.01</v>
      </c>
      <c r="U8" s="136">
        <f xml:space="preserve"> RTD("cqg.rtd",,"StudyData","Consolidate(FVS?1-VX?1,5X,FVS?1-VX?1,1,0)",  "Bar",, "Low", "D",R8,,,,,"T")</f>
        <v>4.55</v>
      </c>
      <c r="V8" s="136">
        <f xml:space="preserve"> RTD("cqg.rtd",,"StudyData","Consolidate(FVS?1-VX?1,5X,FVS?1-VX?1,1,0)",  "Bar",, "Last", "D",R8,,,,,"T")</f>
        <v>4.55</v>
      </c>
      <c r="X8" s="137">
        <f xml:space="preserve"> RTD("cqg.rtd",,"StudyData",$R$1,"Bar",,"Time","D",R8,"all",,,"False")</f>
        <v>41464</v>
      </c>
    </row>
    <row r="9" spans="2:24" x14ac:dyDescent="0.2">
      <c r="B9" s="136"/>
      <c r="C9" s="136"/>
      <c r="D9" s="136"/>
      <c r="E9" s="136"/>
      <c r="G9" s="137"/>
      <c r="J9" s="136"/>
      <c r="K9" s="136"/>
      <c r="L9" s="136"/>
      <c r="M9" s="136"/>
      <c r="O9" s="137"/>
      <c r="R9">
        <f t="shared" si="0"/>
        <v>-7</v>
      </c>
      <c r="S9" s="136">
        <f xml:space="preserve"> RTD("cqg.rtd",,"StudyData","Consolidate(FVS?1-VX?1,5X,FVS?1-VX?1,1,0)",  "Bar",, "Open", "D",R9,,,,,"T")</f>
        <v>4.42</v>
      </c>
      <c r="T9" s="136">
        <f xml:space="preserve"> RTD("cqg.rtd",,"StudyData","Consolidate(FVS?1-VX?1,5X,FVS?1-VX?1,1,0)",  "Bar",, "High", "D",R9,,,,,"T")</f>
        <v>5.2</v>
      </c>
      <c r="U9" s="136">
        <f xml:space="preserve"> RTD("cqg.rtd",,"StudyData","Consolidate(FVS?1-VX?1,5X,FVS?1-VX?1,1,0)",  "Bar",, "Low", "D",R9,,,,,"T")</f>
        <v>4.33</v>
      </c>
      <c r="V9" s="136">
        <f xml:space="preserve"> RTD("cqg.rtd",,"StudyData","Consolidate(FVS?1-VX?1,5X,FVS?1-VX?1,1,0)",  "Bar",, "Last", "D",R9,,,,,"T")</f>
        <v>5.2</v>
      </c>
      <c r="X9" s="137">
        <f xml:space="preserve"> RTD("cqg.rtd",,"StudyData",$R$1,"Bar",,"Time","D",R9,"all",,,"False")</f>
        <v>41463</v>
      </c>
    </row>
    <row r="10" spans="2:24" x14ac:dyDescent="0.2">
      <c r="B10" s="136"/>
      <c r="C10" s="136"/>
      <c r="D10" s="136"/>
      <c r="E10" s="136"/>
      <c r="G10" s="137"/>
      <c r="J10" s="136"/>
      <c r="K10" s="136"/>
      <c r="L10" s="136"/>
      <c r="M10" s="136"/>
      <c r="O10" s="137"/>
      <c r="R10">
        <f t="shared" si="0"/>
        <v>-8</v>
      </c>
      <c r="S10" s="136">
        <f xml:space="preserve"> RTD("cqg.rtd",,"StudyData","Consolidate(FVS?1-VX?1,5X,FVS?1-VX?1,1,0)",  "Bar",, "Open", "D",R10,,,,,"T")</f>
        <v>5.12</v>
      </c>
      <c r="T10" s="136">
        <f xml:space="preserve"> RTD("cqg.rtd",,"StudyData","Consolidate(FVS?1-VX?1,5X,FVS?1-VX?1,1,0)",  "Bar",, "High", "D",R10,,,,,"T")</f>
        <v>5.2</v>
      </c>
      <c r="U10" s="136">
        <f xml:space="preserve"> RTD("cqg.rtd",,"StudyData","Consolidate(FVS?1-VX?1,5X,FVS?1-VX?1,1,0)",  "Bar",, "Low", "D",R10,,,,,"T")</f>
        <v>3.83</v>
      </c>
      <c r="V10" s="136">
        <f xml:space="preserve"> RTD("cqg.rtd",,"StudyData","Consolidate(FVS?1-VX?1,5X,FVS?1-VX?1,1,0)",  "Bar",, "Last", "D",R10,,,,,"T")</f>
        <v>5.2</v>
      </c>
      <c r="X10" s="137">
        <f xml:space="preserve"> RTD("cqg.rtd",,"StudyData",$R$1,"Bar",,"Time","D",R10,"all",,,"False")</f>
        <v>41460</v>
      </c>
    </row>
    <row r="11" spans="2:24" x14ac:dyDescent="0.2">
      <c r="B11" s="136"/>
      <c r="C11" s="136"/>
      <c r="D11" s="136"/>
      <c r="E11" s="136"/>
      <c r="G11" s="137"/>
      <c r="J11" s="136"/>
      <c r="K11" s="136"/>
      <c r="L11" s="136"/>
      <c r="M11" s="136"/>
      <c r="O11" s="137"/>
      <c r="R11">
        <f t="shared" si="0"/>
        <v>-9</v>
      </c>
      <c r="S11" s="136">
        <f xml:space="preserve"> RTD("cqg.rtd",,"StudyData","Consolidate(FVS?1-VX?1,5X,FVS?1-VX?1,1,0)",  "Bar",, "Open", "D",R11,,,,,"T")</f>
        <v>4.7300000000000004</v>
      </c>
      <c r="T11" s="136">
        <f xml:space="preserve"> RTD("cqg.rtd",,"StudyData","Consolidate(FVS?1-VX?1,5X,FVS?1-VX?1,1,0)",  "Bar",, "High", "D",R11,,,,,"T")</f>
        <v>4.97</v>
      </c>
      <c r="U11" s="136">
        <f xml:space="preserve"> RTD("cqg.rtd",,"StudyData","Consolidate(FVS?1-VX?1,5X,FVS?1-VX?1,1,0)",  "Bar",, "Low", "D",R11,,,,,"T")</f>
        <v>4.6500000000000004</v>
      </c>
      <c r="V11" s="136">
        <f xml:space="preserve"> RTD("cqg.rtd",,"StudyData","Consolidate(FVS?1-VX?1,5X,FVS?1-VX?1,1,0)",  "Bar",, "Last", "D",R11,,,,,"T")</f>
        <v>4.6500000000000004</v>
      </c>
      <c r="X11" s="137">
        <f xml:space="preserve"> RTD("cqg.rtd",,"StudyData",$R$1,"Bar",,"Time","D",R11,"all",,,"False")</f>
        <v>41458</v>
      </c>
    </row>
    <row r="12" spans="2:24" x14ac:dyDescent="0.2">
      <c r="B12" s="136"/>
      <c r="C12" s="136"/>
      <c r="D12" s="136"/>
      <c r="E12" s="136"/>
      <c r="G12" s="137"/>
      <c r="J12" s="136"/>
      <c r="K12" s="136"/>
      <c r="L12" s="136"/>
      <c r="M12" s="136"/>
      <c r="O12" s="137"/>
      <c r="R12">
        <f t="shared" si="0"/>
        <v>-10</v>
      </c>
      <c r="S12" s="136">
        <f xml:space="preserve"> RTD("cqg.rtd",,"StudyData","Consolidate(FVS?1-VX?1,5X,FVS?1-VX?1,1,0)",  "Bar",, "Open", "D",R12,,,,,"T")</f>
        <v>3.98</v>
      </c>
      <c r="T12" s="136">
        <f xml:space="preserve"> RTD("cqg.rtd",,"StudyData","Consolidate(FVS?1-VX?1,5X,FVS?1-VX?1,1,0)",  "Bar",, "High", "D",R12,,,,,"T")</f>
        <v>4.16</v>
      </c>
      <c r="U12" s="136">
        <f xml:space="preserve"> RTD("cqg.rtd",,"StudyData","Consolidate(FVS?1-VX?1,5X,FVS?1-VX?1,1,0)",  "Bar",, "Low", "D",R12,,,,,"T")</f>
        <v>3.83</v>
      </c>
      <c r="V12" s="136">
        <f xml:space="preserve"> RTD("cqg.rtd",,"StudyData","Consolidate(FVS?1-VX?1,5X,FVS?1-VX?1,1,0)",  "Bar",, "Last", "D",R12,,,,,"T")</f>
        <v>3.9</v>
      </c>
      <c r="X12" s="137">
        <f xml:space="preserve"> RTD("cqg.rtd",,"StudyData",$R$1,"Bar",,"Time","D",R12,"all",,,"False")</f>
        <v>41457</v>
      </c>
    </row>
    <row r="13" spans="2:24" x14ac:dyDescent="0.2">
      <c r="B13" s="136"/>
      <c r="C13" s="136"/>
      <c r="D13" s="136"/>
      <c r="E13" s="136"/>
      <c r="G13" s="137"/>
      <c r="J13" s="136"/>
      <c r="K13" s="136"/>
      <c r="L13" s="136"/>
      <c r="M13" s="136"/>
      <c r="O13" s="137"/>
      <c r="R13">
        <f t="shared" si="0"/>
        <v>-11</v>
      </c>
      <c r="S13" s="136">
        <f xml:space="preserve"> RTD("cqg.rtd",,"StudyData","Consolidate(FVS?1-VX?1,5X,FVS?1-VX?1,1,0)",  "Bar",, "Open", "D",R13,,,,,"T")</f>
        <v>3.9</v>
      </c>
      <c r="T13" s="136">
        <f xml:space="preserve"> RTD("cqg.rtd",,"StudyData","Consolidate(FVS?1-VX?1,5X,FVS?1-VX?1,1,0)",  "Bar",, "High", "D",R13,,,,,"T")</f>
        <v>4.05</v>
      </c>
      <c r="U13" s="136">
        <f xml:space="preserve"> RTD("cqg.rtd",,"StudyData","Consolidate(FVS?1-VX?1,5X,FVS?1-VX?1,1,0)",  "Bar",, "Low", "D",R13,,,,,"T")</f>
        <v>3.61</v>
      </c>
      <c r="V13" s="136">
        <f xml:space="preserve"> RTD("cqg.rtd",,"StudyData","Consolidate(FVS?1-VX?1,5X,FVS?1-VX?1,1,0)",  "Bar",, "Last", "D",R13,,,,,"T")</f>
        <v>3.8</v>
      </c>
      <c r="X13" s="137">
        <f xml:space="preserve"> RTD("cqg.rtd",,"StudyData",$R$1,"Bar",,"Time","D",R13,"all",,,"False")</f>
        <v>41456</v>
      </c>
    </row>
    <row r="14" spans="2:24" x14ac:dyDescent="0.2">
      <c r="B14" s="136"/>
      <c r="C14" s="136"/>
      <c r="D14" s="136"/>
      <c r="E14" s="136"/>
      <c r="G14" s="137"/>
      <c r="J14" s="136"/>
      <c r="K14" s="136"/>
      <c r="L14" s="136"/>
      <c r="M14" s="136"/>
      <c r="O14" s="137"/>
      <c r="R14">
        <f t="shared" si="0"/>
        <v>-12</v>
      </c>
      <c r="S14" s="136">
        <f xml:space="preserve"> RTD("cqg.rtd",,"StudyData","Consolidate(FVS?1-VX?1,5X,FVS?1-VX?1,1,0)",  "Bar",, "Open", "D",R14,,,,,"T")</f>
        <v>3.5</v>
      </c>
      <c r="T14" s="136">
        <f xml:space="preserve"> RTD("cqg.rtd",,"StudyData","Consolidate(FVS?1-VX?1,5X,FVS?1-VX?1,1,0)",  "Bar",, "High", "D",R14,,,,,"T")</f>
        <v>3.91</v>
      </c>
      <c r="U14" s="136">
        <f xml:space="preserve"> RTD("cqg.rtd",,"StudyData","Consolidate(FVS?1-VX?1,5X,FVS?1-VX?1,1,0)",  "Bar",, "Low", "D",R14,,,,,"T")</f>
        <v>3.43</v>
      </c>
      <c r="V14" s="136">
        <f xml:space="preserve"> RTD("cqg.rtd",,"StudyData","Consolidate(FVS?1-VX?1,5X,FVS?1-VX?1,1,0)",  "Bar",, "Last", "D",R14,,,,,"T")</f>
        <v>3.7</v>
      </c>
      <c r="X14" s="137">
        <f xml:space="preserve"> RTD("cqg.rtd",,"StudyData",$R$1,"Bar",,"Time","D",R14,"all",,,"False")</f>
        <v>41453</v>
      </c>
    </row>
    <row r="15" spans="2:24" x14ac:dyDescent="0.2">
      <c r="B15" s="136"/>
      <c r="C15" s="136"/>
      <c r="D15" s="136"/>
      <c r="E15" s="136"/>
      <c r="G15" s="137"/>
      <c r="J15" s="136"/>
      <c r="K15" s="136"/>
      <c r="L15" s="136"/>
      <c r="M15" s="136"/>
      <c r="O15" s="137"/>
      <c r="R15">
        <f t="shared" si="0"/>
        <v>-13</v>
      </c>
      <c r="S15" s="136">
        <f xml:space="preserve"> RTD("cqg.rtd",,"StudyData","Consolidate(FVS?1-VX?1,5X,FVS?1-VX?1,1,0)",  "Bar",, "Open", "D",R15,,,,,"T")</f>
        <v>3.8</v>
      </c>
      <c r="T15" s="136">
        <f xml:space="preserve"> RTD("cqg.rtd",,"StudyData","Consolidate(FVS?1-VX?1,5X,FVS?1-VX?1,1,0)",  "Bar",, "High", "D",R15,,,,,"T")</f>
        <v>3.8</v>
      </c>
      <c r="U15" s="136">
        <f xml:space="preserve"> RTD("cqg.rtd",,"StudyData","Consolidate(FVS?1-VX?1,5X,FVS?1-VX?1,1,0)",  "Bar",, "Low", "D",R15,,,,,"T")</f>
        <v>2.98</v>
      </c>
      <c r="V15" s="136">
        <f xml:space="preserve"> RTD("cqg.rtd",,"StudyData","Consolidate(FVS?1-VX?1,5X,FVS?1-VX?1,1,0)",  "Bar",, "Last", "D",R15,,,,,"T")</f>
        <v>3.35</v>
      </c>
      <c r="X15" s="137">
        <f xml:space="preserve"> RTD("cqg.rtd",,"StudyData",$R$1,"Bar",,"Time","D",R15,"all",,,"False")</f>
        <v>41452</v>
      </c>
    </row>
    <row r="16" spans="2:24" x14ac:dyDescent="0.2">
      <c r="B16" s="136"/>
      <c r="C16" s="136"/>
      <c r="D16" s="136"/>
      <c r="E16" s="136"/>
      <c r="G16" s="137"/>
      <c r="J16" s="136"/>
      <c r="K16" s="136"/>
      <c r="L16" s="136"/>
      <c r="M16" s="136"/>
      <c r="O16" s="137"/>
      <c r="R16">
        <f t="shared" si="0"/>
        <v>-14</v>
      </c>
      <c r="S16" s="136">
        <f xml:space="preserve"> RTD("cqg.rtd",,"StudyData","Consolidate(FVS?1-VX?1,5X,FVS?1-VX?1,1,0)",  "Bar",, "Open", "D",R16,,,,,"T")</f>
        <v>3.37</v>
      </c>
      <c r="T16" s="136">
        <f xml:space="preserve"> RTD("cqg.rtd",,"StudyData","Consolidate(FVS?1-VX?1,5X,FVS?1-VX?1,1,0)",  "Bar",, "High", "D",R16,,,,,"T")</f>
        <v>3.5</v>
      </c>
      <c r="U16" s="136">
        <f xml:space="preserve"> RTD("cqg.rtd",,"StudyData","Consolidate(FVS?1-VX?1,5X,FVS?1-VX?1,1,0)",  "Bar",, "Low", "D",R16,,,,,"T")</f>
        <v>3.23</v>
      </c>
      <c r="V16" s="136">
        <f xml:space="preserve"> RTD("cqg.rtd",,"StudyData","Consolidate(FVS?1-VX?1,5X,FVS?1-VX?1,1,0)",  "Bar",, "Last", "D",R16,,,,,"T")</f>
        <v>3.5</v>
      </c>
      <c r="X16" s="137">
        <f xml:space="preserve"> RTD("cqg.rtd",,"StudyData",$R$1,"Bar",,"Time","D",R16,"all",,,"False")</f>
        <v>41451</v>
      </c>
    </row>
    <row r="17" spans="2:24" x14ac:dyDescent="0.2">
      <c r="B17" s="136"/>
      <c r="C17" s="136"/>
      <c r="D17" s="136"/>
      <c r="E17" s="136"/>
      <c r="G17" s="137"/>
      <c r="J17" s="136"/>
      <c r="K17" s="136"/>
      <c r="L17" s="136"/>
      <c r="M17" s="136"/>
      <c r="O17" s="137"/>
      <c r="R17">
        <f t="shared" si="0"/>
        <v>-15</v>
      </c>
      <c r="S17" s="136">
        <f xml:space="preserve"> RTD("cqg.rtd",,"StudyData","Consolidate(FVS?1-VX?1,5X,FVS?1-VX?1,1,0)",  "Bar",, "Open", "D",R17,,,,,"T")</f>
        <v>4.9000000000000004</v>
      </c>
      <c r="T17" s="136">
        <f xml:space="preserve"> RTD("cqg.rtd",,"StudyData","Consolidate(FVS?1-VX?1,5X,FVS?1-VX?1,1,0)",  "Bar",, "High", "D",R17,,,,,"T")</f>
        <v>4.92</v>
      </c>
      <c r="U17" s="136">
        <f xml:space="preserve"> RTD("cqg.rtd",,"StudyData","Consolidate(FVS?1-VX?1,5X,FVS?1-VX?1,1,0)",  "Bar",, "Low", "D",R17,,,,,"T")</f>
        <v>3.9</v>
      </c>
      <c r="V17" s="136">
        <f xml:space="preserve"> RTD("cqg.rtd",,"StudyData","Consolidate(FVS?1-VX?1,5X,FVS?1-VX?1,1,0)",  "Bar",, "Last", "D",R17,,,,,"T")</f>
        <v>4.1500000000000004</v>
      </c>
      <c r="X17" s="137">
        <f xml:space="preserve"> RTD("cqg.rtd",,"StudyData",$R$1,"Bar",,"Time","D",R17,"all",,,"False")</f>
        <v>41450</v>
      </c>
    </row>
    <row r="18" spans="2:24" x14ac:dyDescent="0.2">
      <c r="B18" s="136"/>
      <c r="C18" s="136"/>
      <c r="D18" s="136"/>
      <c r="E18" s="136"/>
      <c r="G18" s="137"/>
      <c r="J18" s="136"/>
      <c r="K18" s="136"/>
      <c r="L18" s="136"/>
      <c r="M18" s="136"/>
      <c r="O18" s="137"/>
      <c r="R18">
        <f t="shared" si="0"/>
        <v>-16</v>
      </c>
      <c r="S18" s="136">
        <f xml:space="preserve"> RTD("cqg.rtd",,"StudyData","Consolidate(FVS?1-VX?1,5X,FVS?1-VX?1,1,0)",  "Bar",, "Open", "D",R18,,,,,"T")</f>
        <v>4.83</v>
      </c>
      <c r="T18" s="136">
        <f xml:space="preserve"> RTD("cqg.rtd",,"StudyData","Consolidate(FVS?1-VX?1,5X,FVS?1-VX?1,1,0)",  "Bar",, "High", "D",R18,,,,,"T")</f>
        <v>4.91</v>
      </c>
      <c r="U18" s="136">
        <f xml:space="preserve"> RTD("cqg.rtd",,"StudyData","Consolidate(FVS?1-VX?1,5X,FVS?1-VX?1,1,0)",  "Bar",, "Low", "D",R18,,,,,"T")</f>
        <v>4.17</v>
      </c>
      <c r="V18" s="136">
        <f xml:space="preserve"> RTD("cqg.rtd",,"StudyData","Consolidate(FVS?1-VX?1,5X,FVS?1-VX?1,1,0)",  "Bar",, "Last", "D",R18,,,,,"T")</f>
        <v>4.45</v>
      </c>
      <c r="X18" s="137">
        <f xml:space="preserve"> RTD("cqg.rtd",,"StudyData",$R$1,"Bar",,"Time","D",R18,"all",,,"False")</f>
        <v>41449</v>
      </c>
    </row>
    <row r="19" spans="2:24" x14ac:dyDescent="0.2">
      <c r="B19" s="136"/>
      <c r="C19" s="136"/>
      <c r="D19" s="136"/>
      <c r="E19" s="136"/>
      <c r="G19" s="137"/>
      <c r="J19" s="136"/>
      <c r="K19" s="136"/>
      <c r="L19" s="136"/>
      <c r="M19" s="136"/>
      <c r="O19" s="137"/>
      <c r="R19">
        <f t="shared" si="0"/>
        <v>-17</v>
      </c>
      <c r="S19" s="136">
        <f xml:space="preserve"> RTD("cqg.rtd",,"StudyData","Consolidate(FVS?1-VX?1,5X,FVS?1-VX?1,1,0)",  "Bar",, "Open", "D",R19,,,,,"T")</f>
        <v>3.67</v>
      </c>
      <c r="T19" s="136">
        <f xml:space="preserve"> RTD("cqg.rtd",,"StudyData","Consolidate(FVS?1-VX?1,5X,FVS?1-VX?1,1,0)",  "Bar",, "High", "D",R19,,,,,"T")</f>
        <v>4.55</v>
      </c>
      <c r="U19" s="136">
        <f xml:space="preserve"> RTD("cqg.rtd",,"StudyData","Consolidate(FVS?1-VX?1,5X,FVS?1-VX?1,1,0)",  "Bar",, "Low", "D",R19,,,,,"T")</f>
        <v>3.6</v>
      </c>
      <c r="V19" s="136">
        <f xml:space="preserve"> RTD("cqg.rtd",,"StudyData","Consolidate(FVS?1-VX?1,5X,FVS?1-VX?1,1,0)",  "Bar",, "Last", "D",R19,,,,,"T")</f>
        <v>4.55</v>
      </c>
      <c r="X19" s="137">
        <f xml:space="preserve"> RTD("cqg.rtd",,"StudyData",$R$1,"Bar",,"Time","D",R19,"all",,,"False")</f>
        <v>41446</v>
      </c>
    </row>
    <row r="20" spans="2:24" x14ac:dyDescent="0.2">
      <c r="B20" s="136"/>
      <c r="C20" s="136"/>
      <c r="D20" s="136"/>
      <c r="E20" s="136"/>
      <c r="G20" s="137"/>
      <c r="J20" s="136"/>
      <c r="K20" s="136"/>
      <c r="L20" s="136"/>
      <c r="M20" s="136"/>
      <c r="O20" s="137"/>
      <c r="R20">
        <f t="shared" si="0"/>
        <v>-18</v>
      </c>
      <c r="S20" s="136">
        <f xml:space="preserve"> RTD("cqg.rtd",,"StudyData","Consolidate(FVS?1-VX?1,5X,FVS?1-VX?1,1,0)",  "Bar",, "Open", "D",R20,,,,,"T")</f>
        <v>3.63</v>
      </c>
      <c r="T20" s="136">
        <f xml:space="preserve"> RTD("cqg.rtd",,"StudyData","Consolidate(FVS?1-VX?1,5X,FVS?1-VX?1,1,0)",  "Bar",, "High", "D",R20,,,,,"T")</f>
        <v>3.95</v>
      </c>
      <c r="U20" s="136">
        <f xml:space="preserve"> RTD("cqg.rtd",,"StudyData","Consolidate(FVS?1-VX?1,5X,FVS?1-VX?1,1,0)",  "Bar",, "Low", "D",R20,,,,,"T")</f>
        <v>3.5</v>
      </c>
      <c r="V20" s="136">
        <f xml:space="preserve"> RTD("cqg.rtd",,"StudyData","Consolidate(FVS?1-VX?1,5X,FVS?1-VX?1,1,0)",  "Bar",, "Last", "D",R20,,,,,"T")</f>
        <v>3.85</v>
      </c>
      <c r="X20" s="137">
        <f xml:space="preserve"> RTD("cqg.rtd",,"StudyData",$R$1,"Bar",,"Time","D",R20,"all",,,"False")</f>
        <v>41445</v>
      </c>
    </row>
    <row r="21" spans="2:24" x14ac:dyDescent="0.2">
      <c r="B21" s="136"/>
      <c r="C21" s="136"/>
      <c r="D21" s="136"/>
      <c r="E21" s="136"/>
      <c r="G21" s="137"/>
      <c r="J21" s="136"/>
      <c r="K21" s="136"/>
      <c r="L21" s="136"/>
      <c r="M21" s="136"/>
      <c r="O21" s="137"/>
      <c r="R21">
        <f t="shared" si="0"/>
        <v>-19</v>
      </c>
      <c r="S21" s="136">
        <f xml:space="preserve"> RTD("cqg.rtd",,"StudyData","Consolidate(FVS?1-VX?1,5X,FVS?1-VX?1,1,0)",  "Bar",, "Open", "D",R21,,,,,"T")</f>
        <v>2.95</v>
      </c>
      <c r="T21" s="136">
        <f xml:space="preserve"> RTD("cqg.rtd",,"StudyData","Consolidate(FVS?1-VX?1,5X,FVS?1-VX?1,1,0)",  "Bar",, "High", "D",R21,,,,,"T")</f>
        <v>3</v>
      </c>
      <c r="U21" s="136">
        <f xml:space="preserve"> RTD("cqg.rtd",,"StudyData","Consolidate(FVS?1-VX?1,5X,FVS?1-VX?1,1,0)",  "Bar",, "Low", "D",R21,,,,,"T")</f>
        <v>2.65</v>
      </c>
      <c r="V21" s="136">
        <f xml:space="preserve"> RTD("cqg.rtd",,"StudyData","Consolidate(FVS?1-VX?1,5X,FVS?1-VX?1,1,0)",  "Bar",, "Last", "D",R21,,,,,"T")</f>
        <v>2.65</v>
      </c>
      <c r="X21" s="137">
        <f xml:space="preserve"> RTD("cqg.rtd",,"StudyData",$R$1,"Bar",,"Time","D",R21,"all",,,"False")</f>
        <v>41444</v>
      </c>
    </row>
    <row r="22" spans="2:24" x14ac:dyDescent="0.2">
      <c r="B22" s="136"/>
      <c r="C22" s="136"/>
      <c r="D22" s="136"/>
      <c r="E22" s="136"/>
      <c r="G22" s="137"/>
      <c r="J22" s="136"/>
      <c r="K22" s="136"/>
      <c r="L22" s="136"/>
      <c r="M22" s="136"/>
      <c r="O22" s="137"/>
      <c r="R22">
        <f t="shared" si="0"/>
        <v>-20</v>
      </c>
      <c r="S22" s="136">
        <f xml:space="preserve"> RTD("cqg.rtd",,"StudyData","Consolidate(FVS?1-VX?1,5X,FVS?1-VX?1,1,0)",  "Bar",, "Open", "D",R22,,,,,"T")</f>
        <v>2.98</v>
      </c>
      <c r="T22" s="136">
        <f xml:space="preserve"> RTD("cqg.rtd",,"StudyData","Consolidate(FVS?1-VX?1,5X,FVS?1-VX?1,1,0)",  "Bar",, "High", "D",R22,,,,,"T")</f>
        <v>3.38</v>
      </c>
      <c r="U22" s="136">
        <f xml:space="preserve"> RTD("cqg.rtd",,"StudyData","Consolidate(FVS?1-VX?1,5X,FVS?1-VX?1,1,0)",  "Bar",, "Low", "D",R22,,,,,"T")</f>
        <v>2.98</v>
      </c>
      <c r="V22" s="136">
        <f xml:space="preserve"> RTD("cqg.rtd",,"StudyData","Consolidate(FVS?1-VX?1,5X,FVS?1-VX?1,1,0)",  "Bar",, "Last", "D",R22,,,,,"T")</f>
        <v>3.25</v>
      </c>
      <c r="X22" s="137">
        <f xml:space="preserve"> RTD("cqg.rtd",,"StudyData",$R$1,"Bar",,"Time","D",R22,"all",,,"False")</f>
        <v>41443</v>
      </c>
    </row>
    <row r="23" spans="2:24" x14ac:dyDescent="0.2">
      <c r="B23" s="136"/>
      <c r="C23" s="136"/>
      <c r="D23" s="136"/>
      <c r="E23" s="136"/>
      <c r="G23" s="137"/>
      <c r="J23" s="136"/>
      <c r="K23" s="136"/>
      <c r="L23" s="136"/>
      <c r="M23" s="136"/>
      <c r="O23" s="137"/>
      <c r="R23">
        <f t="shared" si="0"/>
        <v>-21</v>
      </c>
      <c r="S23" s="136">
        <f xml:space="preserve"> RTD("cqg.rtd",,"StudyData","Consolidate(FVS?1-VX?1,5X,FVS?1-VX?1,1,0)",  "Bar",, "Open", "D",R23,,,,,"T")</f>
        <v>2.8</v>
      </c>
      <c r="T23" s="136">
        <f xml:space="preserve"> RTD("cqg.rtd",,"StudyData","Consolidate(FVS?1-VX?1,5X,FVS?1-VX?1,1,0)",  "Bar",, "High", "D",R23,,,,,"T")</f>
        <v>3.23</v>
      </c>
      <c r="U23" s="136">
        <f xml:space="preserve"> RTD("cqg.rtd",,"StudyData","Consolidate(FVS?1-VX?1,5X,FVS?1-VX?1,1,0)",  "Bar",, "Low", "D",R23,,,,,"T")</f>
        <v>2.78</v>
      </c>
      <c r="V23" s="136">
        <f xml:space="preserve"> RTD("cqg.rtd",,"StudyData","Consolidate(FVS?1-VX?1,5X,FVS?1-VX?1,1,0)",  "Bar",, "Last", "D",R23,,,,,"T")</f>
        <v>3</v>
      </c>
      <c r="X23" s="137">
        <f xml:space="preserve"> RTD("cqg.rtd",,"StudyData",$R$1,"Bar",,"Time","D",R23,"all",,,"False")</f>
        <v>41442</v>
      </c>
    </row>
    <row r="24" spans="2:24" x14ac:dyDescent="0.2">
      <c r="B24" s="136"/>
      <c r="C24" s="136"/>
      <c r="D24" s="136"/>
      <c r="E24" s="136"/>
      <c r="G24" s="137"/>
      <c r="J24" s="136"/>
      <c r="K24" s="136"/>
      <c r="L24" s="136"/>
      <c r="M24" s="136"/>
      <c r="O24" s="137"/>
      <c r="R24">
        <f t="shared" si="0"/>
        <v>-22</v>
      </c>
      <c r="S24" s="136">
        <f xml:space="preserve"> RTD("cqg.rtd",,"StudyData","Consolidate(FVS?1-VX?1,5X,FVS?1-VX?1,1,0)",  "Bar",, "Open", "D",R24,,,,,"T")</f>
        <v>3.82</v>
      </c>
      <c r="T24" s="136">
        <f xml:space="preserve"> RTD("cqg.rtd",,"StudyData","Consolidate(FVS?1-VX?1,5X,FVS?1-VX?1,1,0)",  "Bar",, "High", "D",R24,,,,,"T")</f>
        <v>3.85</v>
      </c>
      <c r="U24" s="136">
        <f xml:space="preserve"> RTD("cqg.rtd",,"StudyData","Consolidate(FVS?1-VX?1,5X,FVS?1-VX?1,1,0)",  "Bar",, "Low", "D",R24,,,,,"T")</f>
        <v>2.95</v>
      </c>
      <c r="V24" s="136">
        <f xml:space="preserve"> RTD("cqg.rtd",,"StudyData","Consolidate(FVS?1-VX?1,5X,FVS?1-VX?1,1,0)",  "Bar",, "Last", "D",R24,,,,,"T")</f>
        <v>2.95</v>
      </c>
      <c r="X24" s="137">
        <f xml:space="preserve"> RTD("cqg.rtd",,"StudyData",$R$1,"Bar",,"Time","D",R24,"all",,,"False")</f>
        <v>41439</v>
      </c>
    </row>
    <row r="25" spans="2:24" x14ac:dyDescent="0.2">
      <c r="B25" s="136"/>
      <c r="C25" s="136"/>
      <c r="D25" s="136"/>
      <c r="E25" s="136"/>
      <c r="G25" s="137"/>
      <c r="J25" s="136"/>
      <c r="K25" s="136"/>
      <c r="L25" s="136"/>
      <c r="M25" s="136"/>
      <c r="O25" s="137"/>
      <c r="R25">
        <f t="shared" si="0"/>
        <v>-23</v>
      </c>
      <c r="S25" s="136">
        <f xml:space="preserve"> RTD("cqg.rtd",,"StudyData","Consolidate(FVS?1-VX?1,5X,FVS?1-VX?1,1,0)",  "Bar",, "Open", "D",R25,,,,,"T")</f>
        <v>2.91</v>
      </c>
      <c r="T25" s="136">
        <f xml:space="preserve"> RTD("cqg.rtd",,"StudyData","Consolidate(FVS?1-VX?1,5X,FVS?1-VX?1,1,0)",  "Bar",, "High", "D",R25,,,,,"T")</f>
        <v>3.85</v>
      </c>
      <c r="U25" s="136">
        <f xml:space="preserve"> RTD("cqg.rtd",,"StudyData","Consolidate(FVS?1-VX?1,5X,FVS?1-VX?1,1,0)",  "Bar",, "Low", "D",R25,,,,,"T")</f>
        <v>2.91</v>
      </c>
      <c r="V25" s="136">
        <f xml:space="preserve"> RTD("cqg.rtd",,"StudyData","Consolidate(FVS?1-VX?1,5X,FVS?1-VX?1,1,0)",  "Bar",, "Last", "D",R25,,,,,"T")</f>
        <v>3.85</v>
      </c>
      <c r="X25" s="137">
        <f xml:space="preserve"> RTD("cqg.rtd",,"StudyData",$R$1,"Bar",,"Time","D",R25,"all",,,"False")</f>
        <v>41438</v>
      </c>
    </row>
    <row r="26" spans="2:24" x14ac:dyDescent="0.2">
      <c r="B26" s="136"/>
      <c r="C26" s="136"/>
      <c r="D26" s="136"/>
      <c r="E26" s="136"/>
      <c r="G26" s="137"/>
      <c r="J26" s="136"/>
      <c r="K26" s="136"/>
      <c r="L26" s="136"/>
      <c r="M26" s="136"/>
      <c r="O26" s="137"/>
      <c r="R26">
        <f t="shared" si="0"/>
        <v>-24</v>
      </c>
      <c r="S26" s="136">
        <f xml:space="preserve"> RTD("cqg.rtd",,"StudyData","Consolidate(FVS?1-VX?1,5X,FVS?1-VX?1,1,0)",  "Bar",, "Open", "D",R26,,,,,"T")</f>
        <v>3.68</v>
      </c>
      <c r="T26" s="136">
        <f xml:space="preserve"> RTD("cqg.rtd",,"StudyData","Consolidate(FVS?1-VX?1,5X,FVS?1-VX?1,1,0)",  "Bar",, "High", "D",R26,,,,,"T")</f>
        <v>3.68</v>
      </c>
      <c r="U26" s="136">
        <f xml:space="preserve"> RTD("cqg.rtd",,"StudyData","Consolidate(FVS?1-VX?1,5X,FVS?1-VX?1,1,0)",  "Bar",, "Low", "D",R26,,,,,"T")</f>
        <v>3.1</v>
      </c>
      <c r="V26" s="136">
        <f xml:space="preserve"> RTD("cqg.rtd",,"StudyData","Consolidate(FVS?1-VX?1,5X,FVS?1-VX?1,1,0)",  "Bar",, "Last", "D",R26,,,,,"T")</f>
        <v>3.1</v>
      </c>
      <c r="X26" s="137">
        <f xml:space="preserve"> RTD("cqg.rtd",,"StudyData",$R$1,"Bar",,"Time","D",R26,"all",,,"False")</f>
        <v>41437</v>
      </c>
    </row>
    <row r="27" spans="2:24" x14ac:dyDescent="0.2">
      <c r="B27" s="136"/>
      <c r="C27" s="136"/>
      <c r="D27" s="136"/>
      <c r="E27" s="136"/>
      <c r="G27" s="137"/>
      <c r="J27" s="136"/>
      <c r="K27" s="136"/>
      <c r="L27" s="136"/>
      <c r="M27" s="136"/>
      <c r="O27" s="137"/>
      <c r="R27">
        <f t="shared" si="0"/>
        <v>-25</v>
      </c>
      <c r="S27" s="136">
        <f xml:space="preserve"> RTD("cqg.rtd",,"StudyData","Consolidate(FVS?1-VX?1,5X,FVS?1-VX?1,1,0)",  "Bar",, "Open", "D",R27,,,,,"T")</f>
        <v>3.85</v>
      </c>
      <c r="T27" s="136">
        <f xml:space="preserve"> RTD("cqg.rtd",,"StudyData","Consolidate(FVS?1-VX?1,5X,FVS?1-VX?1,1,0)",  "Bar",, "High", "D",R27,,,,,"T")</f>
        <v>3.89</v>
      </c>
      <c r="U27" s="136">
        <f xml:space="preserve"> RTD("cqg.rtd",,"StudyData","Consolidate(FVS?1-VX?1,5X,FVS?1-VX?1,1,0)",  "Bar",, "Low", "D",R27,,,,,"T")</f>
        <v>3.35</v>
      </c>
      <c r="V27" s="136">
        <f xml:space="preserve"> RTD("cqg.rtd",,"StudyData","Consolidate(FVS?1-VX?1,5X,FVS?1-VX?1,1,0)",  "Bar",, "Last", "D",R27,,,,,"T")</f>
        <v>3.35</v>
      </c>
      <c r="X27" s="137">
        <f xml:space="preserve"> RTD("cqg.rtd",,"StudyData",$R$1,"Bar",,"Time","D",R27,"all",,,"False")</f>
        <v>41436</v>
      </c>
    </row>
    <row r="28" spans="2:24" x14ac:dyDescent="0.2">
      <c r="B28" s="136"/>
      <c r="C28" s="136"/>
      <c r="D28" s="136"/>
      <c r="E28" s="136"/>
      <c r="G28" s="137"/>
      <c r="J28" s="136"/>
      <c r="K28" s="136"/>
      <c r="L28" s="136"/>
      <c r="M28" s="136"/>
      <c r="O28" s="137"/>
      <c r="R28">
        <f t="shared" si="0"/>
        <v>-26</v>
      </c>
      <c r="S28" s="136">
        <f xml:space="preserve"> RTD("cqg.rtd",,"StudyData","Consolidate(FVS?1-VX?1,5X,FVS?1-VX?1,1,0)",  "Bar",, "Open", "D",R28,,,,,"T")</f>
        <v>3.57</v>
      </c>
      <c r="T28" s="136">
        <f xml:space="preserve"> RTD("cqg.rtd",,"StudyData","Consolidate(FVS?1-VX?1,5X,FVS?1-VX?1,1,0)",  "Bar",, "High", "D",R28,,,,,"T")</f>
        <v>3.57</v>
      </c>
      <c r="U28" s="136">
        <f xml:space="preserve"> RTD("cqg.rtd",,"StudyData","Consolidate(FVS?1-VX?1,5X,FVS?1-VX?1,1,0)",  "Bar",, "Low", "D",R28,,,,,"T")</f>
        <v>2.77</v>
      </c>
      <c r="V28" s="136">
        <f xml:space="preserve"> RTD("cqg.rtd",,"StudyData","Consolidate(FVS?1-VX?1,5X,FVS?1-VX?1,1,0)",  "Bar",, "Last", "D",R28,,,,,"T")</f>
        <v>3.05</v>
      </c>
      <c r="X28" s="137">
        <f xml:space="preserve"> RTD("cqg.rtd",,"StudyData",$R$1,"Bar",,"Time","D",R28,"all",,,"False")</f>
        <v>41435</v>
      </c>
    </row>
    <row r="29" spans="2:24" x14ac:dyDescent="0.2">
      <c r="B29" s="136"/>
      <c r="C29" s="136"/>
      <c r="D29" s="136"/>
      <c r="E29" s="136"/>
      <c r="G29" s="137"/>
      <c r="J29" s="136"/>
      <c r="K29" s="136"/>
      <c r="L29" s="136"/>
      <c r="M29" s="136"/>
      <c r="O29" s="137"/>
      <c r="R29">
        <f t="shared" si="0"/>
        <v>-27</v>
      </c>
      <c r="S29" s="136">
        <f xml:space="preserve"> RTD("cqg.rtd",,"StudyData","Consolidate(FVS?1-VX?1,5X,FVS?1-VX?1,1,0)",  "Bar",, "Open", "D",R29,,,,,"T")</f>
        <v>3.86</v>
      </c>
      <c r="T29" s="136">
        <f xml:space="preserve"> RTD("cqg.rtd",,"StudyData","Consolidate(FVS?1-VX?1,5X,FVS?1-VX?1,1,0)",  "Bar",, "High", "D",R29,,,,,"T")</f>
        <v>4.1500000000000004</v>
      </c>
      <c r="U29" s="136">
        <f xml:space="preserve"> RTD("cqg.rtd",,"StudyData","Consolidate(FVS?1-VX?1,5X,FVS?1-VX?1,1,0)",  "Bar",, "Low", "D",R29,,,,,"T")</f>
        <v>3.3</v>
      </c>
      <c r="V29" s="136">
        <f xml:space="preserve"> RTD("cqg.rtd",,"StudyData","Consolidate(FVS?1-VX?1,5X,FVS?1-VX?1,1,0)",  "Bar",, "Last", "D",R29,,,,,"T")</f>
        <v>3.4</v>
      </c>
      <c r="X29" s="137">
        <f xml:space="preserve"> RTD("cqg.rtd",,"StudyData",$R$1,"Bar",,"Time","D",R29,"all",,,"False")</f>
        <v>41432</v>
      </c>
    </row>
    <row r="30" spans="2:24" x14ac:dyDescent="0.2">
      <c r="B30" s="136"/>
      <c r="C30" s="136"/>
      <c r="D30" s="136"/>
      <c r="E30" s="136"/>
      <c r="G30" s="137"/>
      <c r="J30" s="136"/>
      <c r="K30" s="136"/>
      <c r="L30" s="136"/>
      <c r="M30" s="136"/>
      <c r="O30" s="137"/>
      <c r="R30">
        <f t="shared" si="0"/>
        <v>-28</v>
      </c>
      <c r="S30" s="136">
        <f xml:space="preserve"> RTD("cqg.rtd",,"StudyData","Consolidate(FVS?1-VX?1,5X,FVS?1-VX?1,1,0)",  "Bar",, "Open", "D",R30,,,,,"T")</f>
        <v>3.3</v>
      </c>
      <c r="T30" s="136">
        <f xml:space="preserve"> RTD("cqg.rtd",,"StudyData","Consolidate(FVS?1-VX?1,5X,FVS?1-VX?1,1,0)",  "Bar",, "High", "D",R30,,,,,"T")</f>
        <v>4.0999999999999996</v>
      </c>
      <c r="U30" s="136">
        <f xml:space="preserve"> RTD("cqg.rtd",,"StudyData","Consolidate(FVS?1-VX?1,5X,FVS?1-VX?1,1,0)",  "Bar",, "Low", "D",R30,,,,,"T")</f>
        <v>3.2</v>
      </c>
      <c r="V30" s="136">
        <f xml:space="preserve"> RTD("cqg.rtd",,"StudyData","Consolidate(FVS?1-VX?1,5X,FVS?1-VX?1,1,0)",  "Bar",, "Last", "D",R30,,,,,"T")</f>
        <v>4.0999999999999996</v>
      </c>
      <c r="X30" s="137">
        <f xml:space="preserve"> RTD("cqg.rtd",,"StudyData",$R$1,"Bar",,"Time","D",R30,"all",,,"False")</f>
        <v>41431</v>
      </c>
    </row>
    <row r="31" spans="2:24" x14ac:dyDescent="0.2">
      <c r="B31" s="136"/>
      <c r="C31" s="136"/>
      <c r="D31" s="136"/>
      <c r="E31" s="136"/>
      <c r="G31" s="137"/>
      <c r="J31" s="136"/>
      <c r="K31" s="136"/>
      <c r="L31" s="136"/>
      <c r="M31" s="136"/>
      <c r="O31" s="137"/>
      <c r="R31">
        <f t="shared" si="0"/>
        <v>-29</v>
      </c>
      <c r="S31" s="136">
        <f xml:space="preserve"> RTD("cqg.rtd",,"StudyData","Consolidate(FVS?1-VX?1,5X,FVS?1-VX?1,1,0)",  "Bar",, "Open", "D",R31,,,,,"T")</f>
        <v>3.19</v>
      </c>
      <c r="T31" s="136">
        <f xml:space="preserve"> RTD("cqg.rtd",,"StudyData","Consolidate(FVS?1-VX?1,5X,FVS?1-VX?1,1,0)",  "Bar",, "High", "D",R31,,,,,"T")</f>
        <v>3.61</v>
      </c>
      <c r="U31" s="136">
        <f xml:space="preserve"> RTD("cqg.rtd",,"StudyData","Consolidate(FVS?1-VX?1,5X,FVS?1-VX?1,1,0)",  "Bar",, "Low", "D",R31,,,,,"T")</f>
        <v>3.16</v>
      </c>
      <c r="V31" s="136">
        <f xml:space="preserve"> RTD("cqg.rtd",,"StudyData","Consolidate(FVS?1-VX?1,5X,FVS?1-VX?1,1,0)",  "Bar",, "Last", "D",R31,,,,,"T")</f>
        <v>3.6</v>
      </c>
      <c r="X31" s="137">
        <f xml:space="preserve"> RTD("cqg.rtd",,"StudyData",$R$1,"Bar",,"Time","D",R31,"all",,,"False")</f>
        <v>41430</v>
      </c>
    </row>
  </sheetData>
  <sheetProtection algorithmName="SHA-512" hashValue="+LzGgmqO7oAGkjwffahCB046WYrTqCzJfaULtxEmKWoLyraOSJFFGnafEI8XRoerRk0D+WdMHRsAq0T05jqDfg==" saltValue="GeQSepEHlclOG/wWBjau9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FVS</vt:lpstr>
      <vt:lpstr>VX</vt:lpstr>
      <vt:lpstr>Spread</vt:lpstr>
      <vt:lpstr>Charts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2013-07-17T21:19:17Z</dcterms:modified>
</cp:coreProperties>
</file>