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HorizontalScroll="0" showVerticalScroll="0" xWindow="0" yWindow="0" windowWidth="21570" windowHeight="10590"/>
  </bookViews>
  <sheets>
    <sheet name="Volume &amp; OI Charts" sheetId="8" r:id="rId1"/>
    <sheet name="Volume &amp; OI Charts (2)" sheetId="1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8" i="16" l="1"/>
  <c r="P40" i="16"/>
  <c r="P37" i="16"/>
  <c r="P32" i="16"/>
  <c r="P34" i="16"/>
  <c r="P31" i="16"/>
  <c r="P21" i="16"/>
  <c r="P18" i="16"/>
  <c r="O14" i="16"/>
  <c r="O11" i="16"/>
  <c r="O38" i="8"/>
  <c r="J36" i="8"/>
  <c r="P34" i="8"/>
  <c r="P31" i="8"/>
  <c r="K30" i="8"/>
  <c r="O36" i="8"/>
  <c r="P13" i="8"/>
  <c r="P12" i="8"/>
  <c r="O37" i="16"/>
  <c r="O39" i="16"/>
  <c r="O36" i="16"/>
  <c r="O31" i="16"/>
  <c r="O33" i="16"/>
  <c r="O30" i="16"/>
  <c r="P17" i="16"/>
  <c r="P14" i="16"/>
  <c r="P11" i="16"/>
  <c r="P13" i="16"/>
  <c r="P37" i="8"/>
  <c r="P40" i="8"/>
  <c r="J34" i="8"/>
  <c r="P32" i="8"/>
  <c r="O40" i="8"/>
  <c r="P33" i="8"/>
  <c r="P19" i="8"/>
  <c r="P11" i="8"/>
  <c r="P39" i="16"/>
  <c r="P36" i="16"/>
  <c r="J36" i="16"/>
  <c r="P33" i="16"/>
  <c r="P30" i="16"/>
  <c r="J34" i="16"/>
  <c r="P19" i="16"/>
  <c r="O13" i="16"/>
  <c r="O15" i="16"/>
  <c r="O12" i="16"/>
  <c r="O33" i="8"/>
  <c r="O31" i="8"/>
  <c r="O39" i="8"/>
  <c r="O30" i="8"/>
  <c r="P39" i="8"/>
  <c r="O32" i="8"/>
  <c r="P14" i="8"/>
  <c r="P17" i="8"/>
  <c r="O38" i="16"/>
  <c r="O40" i="16"/>
  <c r="K40" i="16"/>
  <c r="O32" i="16"/>
  <c r="O34" i="16"/>
  <c r="K30" i="16"/>
  <c r="P20" i="16"/>
  <c r="P15" i="16"/>
  <c r="P12" i="16"/>
  <c r="O37" i="8"/>
  <c r="P30" i="8"/>
  <c r="P38" i="8"/>
  <c r="P36" i="8"/>
  <c r="K40" i="8"/>
  <c r="O34" i="8"/>
  <c r="P20" i="8"/>
  <c r="P18" i="8"/>
  <c r="P15" i="8"/>
  <c r="P21" i="8"/>
  <c r="J38" i="16"/>
  <c r="J30" i="16"/>
  <c r="J32" i="16"/>
  <c r="K39" i="8"/>
  <c r="J31" i="8"/>
  <c r="J38" i="8"/>
  <c r="K38" i="8"/>
  <c r="J40" i="8"/>
  <c r="J39" i="8"/>
  <c r="K38" i="16"/>
  <c r="K32" i="16"/>
  <c r="K34" i="16"/>
  <c r="K34" i="8"/>
  <c r="K33" i="8"/>
  <c r="J37" i="8"/>
  <c r="J40" i="16"/>
  <c r="J37" i="16"/>
  <c r="J39" i="16"/>
  <c r="J31" i="16"/>
  <c r="J33" i="16"/>
  <c r="K36" i="8"/>
  <c r="K32" i="8"/>
  <c r="J32" i="8"/>
  <c r="K31" i="8"/>
  <c r="K37" i="16"/>
  <c r="K39" i="16"/>
  <c r="K36" i="16"/>
  <c r="K31" i="16"/>
  <c r="K33" i="16"/>
  <c r="J30" i="8"/>
  <c r="K37" i="8"/>
  <c r="J33" i="8"/>
  <c r="O17" i="16"/>
  <c r="O19" i="16"/>
  <c r="K20" i="16"/>
  <c r="K17" i="16"/>
  <c r="K19" i="16"/>
  <c r="J14" i="16"/>
  <c r="J15" i="16"/>
  <c r="O20" i="8"/>
  <c r="J11" i="8"/>
  <c r="J19" i="8"/>
  <c r="O18" i="8"/>
  <c r="J19" i="16"/>
  <c r="K11" i="16"/>
  <c r="J14" i="8"/>
  <c r="O18" i="16"/>
  <c r="K21" i="16"/>
  <c r="K18" i="16"/>
  <c r="J11" i="16"/>
  <c r="J12" i="16"/>
  <c r="K13" i="16"/>
  <c r="J12" i="8"/>
  <c r="J20" i="8"/>
  <c r="O19" i="8"/>
  <c r="J18" i="8"/>
  <c r="J21" i="8"/>
  <c r="J18" i="16"/>
  <c r="O21" i="16"/>
  <c r="J20" i="16"/>
  <c r="J17" i="16"/>
  <c r="K15" i="16"/>
  <c r="K14" i="16"/>
  <c r="J13" i="16"/>
  <c r="J15" i="8"/>
  <c r="J13" i="8"/>
  <c r="J17" i="8"/>
  <c r="O20" i="16"/>
  <c r="J21" i="16"/>
  <c r="K12" i="16"/>
  <c r="O21" i="8"/>
  <c r="Q37" i="16" l="1"/>
  <c r="Q36" i="16"/>
  <c r="Q40" i="16"/>
  <c r="Q39" i="16"/>
  <c r="Q38" i="16"/>
  <c r="I39" i="16"/>
  <c r="I38" i="16"/>
  <c r="I37" i="16"/>
  <c r="I36" i="16"/>
  <c r="I40" i="16"/>
  <c r="Q31" i="16"/>
  <c r="Q30" i="16"/>
  <c r="Q34" i="16"/>
  <c r="Q33" i="16"/>
  <c r="Q32" i="16"/>
  <c r="I33" i="16"/>
  <c r="I32" i="16"/>
  <c r="I31" i="16"/>
  <c r="I30" i="16"/>
  <c r="I34" i="16"/>
  <c r="Q18" i="16"/>
  <c r="Q20" i="16"/>
  <c r="Q19" i="16"/>
  <c r="Q17" i="16"/>
  <c r="Q21" i="16"/>
  <c r="Q13" i="16"/>
  <c r="Q12" i="16"/>
  <c r="Q11" i="16"/>
  <c r="Q15" i="16"/>
  <c r="Q14" i="16"/>
  <c r="I18" i="16"/>
  <c r="I17" i="16"/>
  <c r="I21" i="16"/>
  <c r="I20" i="16"/>
  <c r="I19" i="16"/>
  <c r="I13" i="16"/>
  <c r="I11" i="16"/>
  <c r="I15" i="16"/>
  <c r="I12" i="16"/>
  <c r="I14" i="16"/>
  <c r="U25" i="16"/>
  <c r="X6" i="16"/>
  <c r="X25" i="16"/>
  <c r="U6" i="16"/>
  <c r="AA11" i="16"/>
  <c r="AA37" i="16"/>
  <c r="AE33" i="16"/>
  <c r="AA34" i="16"/>
  <c r="AA38" i="16"/>
  <c r="AA17" i="16"/>
  <c r="AE32" i="16"/>
  <c r="AA33" i="16"/>
  <c r="AA32" i="16"/>
  <c r="AE38" i="16"/>
  <c r="AA40" i="16"/>
  <c r="AA15" i="16"/>
  <c r="AA39" i="16"/>
  <c r="AA16" i="16"/>
  <c r="AA21" i="16"/>
  <c r="AA35" i="16"/>
  <c r="AA20" i="16"/>
  <c r="AA19" i="16"/>
  <c r="AA13" i="16"/>
  <c r="AA14" i="16"/>
  <c r="AE40" i="16"/>
  <c r="AE31" i="16"/>
  <c r="AA36" i="16"/>
  <c r="AA18" i="16"/>
  <c r="AE35" i="16"/>
  <c r="AE39" i="16"/>
  <c r="AE36" i="16"/>
  <c r="AE34" i="16"/>
  <c r="AA31" i="16"/>
  <c r="AE37" i="16"/>
  <c r="AE30" i="16"/>
  <c r="AA12" i="16"/>
  <c r="AA30" i="16"/>
  <c r="AE20" i="16"/>
  <c r="AE19" i="16"/>
  <c r="AE12" i="16"/>
  <c r="AE18" i="16"/>
  <c r="AE21" i="16"/>
  <c r="AE13" i="16"/>
  <c r="AE11" i="16"/>
  <c r="AE14" i="16"/>
  <c r="AE16" i="16"/>
  <c r="AE17" i="16"/>
  <c r="AE15" i="16"/>
  <c r="O13" i="8"/>
  <c r="O15" i="8"/>
  <c r="O12" i="8"/>
  <c r="O11" i="8"/>
  <c r="O14" i="8"/>
  <c r="AB39" i="16"/>
  <c r="AB31" i="16"/>
  <c r="AD40" i="16"/>
  <c r="K25" i="16"/>
  <c r="AB21" i="16"/>
  <c r="AD33" i="16"/>
  <c r="AB33" i="16"/>
  <c r="AD18" i="16"/>
  <c r="AB17" i="16"/>
  <c r="AD17" i="16"/>
  <c r="AB12" i="16"/>
  <c r="AB35" i="16"/>
  <c r="AB16" i="16"/>
  <c r="AD32" i="16"/>
  <c r="AD14" i="16"/>
  <c r="AD11" i="16"/>
  <c r="AD16" i="16"/>
  <c r="AD31" i="16"/>
  <c r="AB14" i="16"/>
  <c r="AD35" i="16"/>
  <c r="AB18" i="16"/>
  <c r="AD34" i="16"/>
  <c r="AD15" i="16"/>
  <c r="AB13" i="16"/>
  <c r="AB37" i="16"/>
  <c r="AD21" i="16"/>
  <c r="K6" i="16"/>
  <c r="AB40" i="16"/>
  <c r="AD39" i="16"/>
  <c r="AD36" i="16"/>
  <c r="AD37" i="16"/>
  <c r="H25" i="16"/>
  <c r="AB15" i="16"/>
  <c r="S4" i="16"/>
  <c r="AB20" i="16"/>
  <c r="AB34" i="16"/>
  <c r="AB32" i="16"/>
  <c r="AB11" i="16"/>
  <c r="AD12" i="16"/>
  <c r="AD19" i="16"/>
  <c r="AD38" i="16"/>
  <c r="AD20" i="16"/>
  <c r="H6" i="16"/>
  <c r="AD13" i="16"/>
  <c r="AB38" i="16"/>
  <c r="AD30" i="16"/>
  <c r="AB36" i="16"/>
  <c r="AB19" i="16"/>
  <c r="AB30" i="16"/>
  <c r="K19" i="8"/>
  <c r="P25" i="16"/>
  <c r="R10" i="16"/>
  <c r="Q25" i="16"/>
  <c r="F4" i="16"/>
  <c r="R25" i="16"/>
  <c r="W23" i="16"/>
  <c r="R6" i="16"/>
  <c r="K13" i="8"/>
  <c r="K18" i="8"/>
  <c r="W6" i="16"/>
  <c r="O17" i="8"/>
  <c r="F23" i="16"/>
  <c r="T25" i="16"/>
  <c r="O16" i="16"/>
  <c r="K14" i="8"/>
  <c r="W25" i="16"/>
  <c r="S6" i="16"/>
  <c r="K17" i="8"/>
  <c r="S23" i="16"/>
  <c r="O9" i="16"/>
  <c r="K12" i="8"/>
  <c r="Q6" i="16"/>
  <c r="V25" i="16"/>
  <c r="B10" i="16"/>
  <c r="P6" i="16"/>
  <c r="K15" i="8"/>
  <c r="V6" i="16"/>
  <c r="K11" i="8"/>
  <c r="S25" i="16"/>
  <c r="W4" i="16"/>
  <c r="T6" i="16"/>
  <c r="K21" i="8"/>
  <c r="K20" i="8"/>
  <c r="O35" i="16"/>
  <c r="R29" i="16"/>
  <c r="O28" i="16"/>
  <c r="B29" i="16"/>
  <c r="G25" i="16"/>
  <c r="K16" i="16"/>
  <c r="E25" i="16"/>
  <c r="F25" i="16"/>
  <c r="S41" i="16"/>
  <c r="K35" i="16"/>
  <c r="D6" i="16"/>
  <c r="F6" i="16"/>
  <c r="J41" i="16"/>
  <c r="G6" i="16"/>
  <c r="I25" i="16"/>
  <c r="B28" i="16"/>
  <c r="I28" i="16"/>
  <c r="C25" i="16"/>
  <c r="J23" i="16"/>
  <c r="I6" i="16"/>
  <c r="O41" i="16"/>
  <c r="J4" i="16"/>
  <c r="V41" i="16"/>
  <c r="B9" i="16"/>
  <c r="I9" i="16"/>
  <c r="C6" i="16"/>
  <c r="J6" i="16"/>
  <c r="E6" i="16"/>
  <c r="M35" i="16"/>
  <c r="R9" i="16"/>
  <c r="D25" i="16"/>
  <c r="J25" i="16"/>
  <c r="M16" i="16"/>
  <c r="R28" i="16"/>
  <c r="M34" i="16" l="1"/>
  <c r="M38" i="16"/>
  <c r="M13" i="16"/>
  <c r="M17" i="16"/>
  <c r="M20" i="16"/>
  <c r="M32" i="16"/>
  <c r="M36" i="16"/>
  <c r="M39" i="16"/>
  <c r="M14" i="16"/>
  <c r="M18" i="16"/>
  <c r="M21" i="16"/>
  <c r="M33" i="16"/>
  <c r="M37" i="16"/>
  <c r="M12" i="16"/>
  <c r="M40" i="16"/>
  <c r="M11" i="16"/>
  <c r="M30" i="16"/>
  <c r="M15" i="16"/>
  <c r="M19" i="16"/>
  <c r="M31" i="16"/>
  <c r="AE30" i="8"/>
  <c r="AE37" i="8"/>
  <c r="AE39" i="8"/>
  <c r="AE38" i="8"/>
  <c r="AE36" i="8"/>
  <c r="AE33" i="8"/>
  <c r="AE34" i="8"/>
  <c r="AE32" i="8"/>
  <c r="AE35" i="8"/>
  <c r="AE40" i="8"/>
  <c r="AE31" i="8"/>
  <c r="AE16" i="8"/>
  <c r="AE14" i="8"/>
  <c r="AE18" i="8"/>
  <c r="AE19" i="8"/>
  <c r="AE20" i="8"/>
  <c r="AE13" i="8"/>
  <c r="AE12" i="8"/>
  <c r="AE21" i="8"/>
  <c r="AE17" i="8"/>
  <c r="AE15" i="8"/>
  <c r="AE11" i="8"/>
  <c r="AD37" i="8"/>
  <c r="AD33" i="8"/>
  <c r="AD19" i="8"/>
  <c r="AD40" i="8"/>
  <c r="AD18" i="8"/>
  <c r="AD21" i="8"/>
  <c r="AD17" i="8"/>
  <c r="AD16" i="8"/>
  <c r="AD12" i="8"/>
  <c r="AD32" i="8"/>
  <c r="AD39" i="8"/>
  <c r="AD15" i="8"/>
  <c r="AD34" i="8"/>
  <c r="AD20" i="8"/>
  <c r="AD35" i="8"/>
  <c r="AD11" i="8"/>
  <c r="AD31" i="8"/>
  <c r="AD13" i="8"/>
  <c r="AD14" i="8"/>
  <c r="AD36" i="8"/>
  <c r="AD38" i="8"/>
  <c r="O16" i="8"/>
  <c r="O35" i="8"/>
  <c r="O9" i="8"/>
  <c r="B10" i="8"/>
  <c r="B29" i="8"/>
  <c r="O28" i="8"/>
  <c r="I28" i="8"/>
  <c r="M35" i="8"/>
  <c r="B28" i="8"/>
  <c r="K35" i="8"/>
  <c r="M16" i="8"/>
  <c r="I9" i="8"/>
  <c r="K16" i="8"/>
  <c r="J41" i="8"/>
  <c r="B9" i="8"/>
  <c r="I34" i="8" l="1"/>
  <c r="I40" i="8"/>
  <c r="I30" i="8"/>
  <c r="I33" i="8"/>
  <c r="I39" i="8"/>
  <c r="I32" i="8"/>
  <c r="I38" i="8"/>
  <c r="I36" i="8"/>
  <c r="I31" i="8"/>
  <c r="I37" i="8"/>
  <c r="I20" i="8"/>
  <c r="I17" i="8"/>
  <c r="I13" i="8"/>
  <c r="I18" i="8"/>
  <c r="I11" i="8"/>
  <c r="I15" i="8"/>
  <c r="I12" i="8"/>
  <c r="I21" i="8"/>
  <c r="I14" i="8"/>
  <c r="I19" i="8"/>
  <c r="X6" i="8"/>
  <c r="U6" i="8"/>
  <c r="AA11" i="8"/>
  <c r="AD30" i="8"/>
  <c r="AB11" i="8"/>
  <c r="S4" i="8"/>
  <c r="K6" i="8"/>
  <c r="H6" i="8"/>
  <c r="V6" i="8"/>
  <c r="S6" i="8"/>
  <c r="P6" i="8"/>
  <c r="R10" i="8"/>
  <c r="W4" i="8"/>
  <c r="R6" i="8"/>
  <c r="F4" i="8"/>
  <c r="W6" i="8"/>
  <c r="Q6" i="8"/>
  <c r="T6" i="8"/>
  <c r="C6" i="8"/>
  <c r="G6" i="8"/>
  <c r="R9" i="8"/>
  <c r="J4" i="8"/>
  <c r="J6" i="8"/>
  <c r="F6" i="8"/>
  <c r="I6" i="8"/>
  <c r="D6" i="8"/>
  <c r="E6" i="8"/>
  <c r="M11" i="8" l="1"/>
  <c r="Q11" i="8"/>
  <c r="AA12" i="8"/>
  <c r="AB12" i="8"/>
  <c r="M12" i="8" l="1"/>
  <c r="Q12" i="8"/>
  <c r="AA13" i="8"/>
  <c r="AB13" i="8"/>
  <c r="M13" i="8" l="1"/>
  <c r="Q13" i="8"/>
  <c r="AA14" i="8"/>
  <c r="AB14" i="8"/>
  <c r="M14" i="8" l="1"/>
  <c r="Q14" i="8"/>
  <c r="AA15" i="8"/>
  <c r="AA16" i="8"/>
  <c r="AB16" i="8"/>
  <c r="AB15" i="8"/>
  <c r="M15" i="8" l="1"/>
  <c r="Q15" i="8"/>
  <c r="AA17" i="8"/>
  <c r="AB17" i="8"/>
  <c r="M17" i="8" l="1"/>
  <c r="Q17" i="8"/>
  <c r="AA18" i="8"/>
  <c r="AB18" i="8"/>
  <c r="M18" i="8" l="1"/>
  <c r="Q18" i="8"/>
  <c r="AA19" i="8"/>
  <c r="AB19" i="8"/>
  <c r="M19" i="8" l="1"/>
  <c r="Q19" i="8"/>
  <c r="AA20" i="8"/>
  <c r="AB20" i="8"/>
  <c r="M20" i="8" l="1"/>
  <c r="Q20" i="8"/>
  <c r="X25" i="8"/>
  <c r="U25" i="8"/>
  <c r="AA21" i="8"/>
  <c r="K25" i="8"/>
  <c r="H25" i="8"/>
  <c r="AB21" i="8"/>
  <c r="W25" i="8"/>
  <c r="W23" i="8"/>
  <c r="R25" i="8"/>
  <c r="V25" i="8"/>
  <c r="S25" i="8"/>
  <c r="T25" i="8"/>
  <c r="P25" i="8"/>
  <c r="F23" i="8"/>
  <c r="Q25" i="8"/>
  <c r="S23" i="8"/>
  <c r="R29" i="8"/>
  <c r="G25" i="8"/>
  <c r="E25" i="8"/>
  <c r="F25" i="8"/>
  <c r="I25" i="8"/>
  <c r="C25" i="8"/>
  <c r="J25" i="8"/>
  <c r="R28" i="8"/>
  <c r="J23" i="8"/>
  <c r="D25" i="8"/>
  <c r="M21" i="8" l="1"/>
  <c r="Q21" i="8"/>
  <c r="AA30" i="8"/>
  <c r="AB30" i="8"/>
  <c r="M30" i="8" l="1"/>
  <c r="Q30" i="8"/>
  <c r="AA31" i="8"/>
  <c r="AB31" i="8"/>
  <c r="M31" i="8" l="1"/>
  <c r="Q31" i="8"/>
  <c r="AA32" i="8"/>
  <c r="AB32" i="8"/>
  <c r="M32" i="8" l="1"/>
  <c r="Q32" i="8"/>
  <c r="AA33" i="8"/>
  <c r="AB33" i="8"/>
  <c r="M33" i="8" l="1"/>
  <c r="Q33" i="8"/>
  <c r="AA35" i="8"/>
  <c r="AA34" i="8"/>
  <c r="AB34" i="8"/>
  <c r="AB35" i="8"/>
  <c r="M34" i="8" l="1"/>
  <c r="Q34" i="8"/>
  <c r="AA36" i="8"/>
  <c r="AB36" i="8"/>
  <c r="M36" i="8" l="1"/>
  <c r="Q36" i="8"/>
  <c r="AA37" i="8"/>
  <c r="AB37" i="8"/>
  <c r="M37" i="8" l="1"/>
  <c r="Q37" i="8"/>
  <c r="AA38" i="8"/>
  <c r="AB38" i="8"/>
  <c r="M38" i="8" l="1"/>
  <c r="Q38" i="8"/>
  <c r="AA39" i="8"/>
  <c r="AB39" i="8"/>
  <c r="M39" i="8" l="1"/>
  <c r="Q39" i="8"/>
  <c r="AA40" i="8"/>
  <c r="AB40" i="8"/>
  <c r="V41" i="8"/>
  <c r="O41" i="8"/>
  <c r="S41" i="8"/>
  <c r="M40" i="8" l="1"/>
  <c r="Q40" i="8"/>
</calcChain>
</file>

<file path=xl/sharedStrings.xml><?xml version="1.0" encoding="utf-8"?>
<sst xmlns="http://schemas.openxmlformats.org/spreadsheetml/2006/main" count="158" uniqueCount="32">
  <si>
    <t xml:space="preserve">TOKYO: </t>
  </si>
  <si>
    <t>NEW YORK:</t>
  </si>
  <si>
    <t>CHICAGO:</t>
  </si>
  <si>
    <t>Last Trade</t>
  </si>
  <si>
    <t>Ystdy</t>
  </si>
  <si>
    <t>Today</t>
  </si>
  <si>
    <t>Depth of Market</t>
  </si>
  <si>
    <t>A Vol</t>
  </si>
  <si>
    <t>Ask</t>
  </si>
  <si>
    <t>Bid</t>
  </si>
  <si>
    <t>Bid Vol</t>
  </si>
  <si>
    <t>Low</t>
  </si>
  <si>
    <t>High</t>
  </si>
  <si>
    <t>Open</t>
  </si>
  <si>
    <t>NC</t>
  </si>
  <si>
    <t>Last</t>
  </si>
  <si>
    <t>Symbol</t>
  </si>
  <si>
    <t>Ask Vol</t>
  </si>
  <si>
    <t>Expiration Date:</t>
  </si>
  <si>
    <t>Second Symbol, First Notice Date:</t>
  </si>
  <si>
    <t>First Symbol, First Notice Date:</t>
  </si>
  <si>
    <t>CQG Futures 10-day Roll</t>
  </si>
  <si>
    <t>TYA?1</t>
  </si>
  <si>
    <t>Spread between</t>
  </si>
  <si>
    <t>Queue Volume</t>
  </si>
  <si>
    <t>Center Value is Traded</t>
  </si>
  <si>
    <t>Volume difference</t>
  </si>
  <si>
    <t>Copyright © 2013              Designed by Thom Hartle</t>
  </si>
  <si>
    <t>LONDON:</t>
  </si>
  <si>
    <t>TYA?2</t>
  </si>
  <si>
    <t>USA?1</t>
  </si>
  <si>
    <t>USA?2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</si>
</sst>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sz val="13"/>
      <color rgb="FF00B050"/>
      <name val="Century Gothic"/>
      <family val="2"/>
    </font>
    <font>
      <b/>
      <sz val="12"/>
      <color theme="4"/>
      <name val="Century Gothic"/>
      <family val="2"/>
    </font>
    <font>
      <sz val="12"/>
      <color theme="4"/>
      <name val="Century Gothic"/>
      <family val="2"/>
    </font>
    <font>
      <b/>
      <sz val="12"/>
      <color theme="1"/>
      <name val="CQG Swiss"/>
    </font>
    <font>
      <b/>
      <sz val="22"/>
      <color theme="4"/>
      <name val="Tahoma"/>
      <family val="2"/>
    </font>
    <font>
      <b/>
      <sz val="16"/>
      <color theme="0"/>
      <name val="Arial"/>
      <family val="2"/>
    </font>
    <font>
      <sz val="14"/>
      <color theme="0"/>
      <name val="Century Gothic"/>
      <family val="2"/>
    </font>
    <font>
      <sz val="14"/>
      <color theme="4"/>
      <name val="Century Gothic"/>
      <family val="2"/>
    </font>
    <font>
      <sz val="24"/>
      <color theme="4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4" tint="0.59999389629810485"/>
        </stop>
        <stop position="1">
          <color theme="4" tint="0.59999389629810485"/>
        </stop>
      </gradientFill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gradientFill degree="270">
        <stop position="0">
          <color theme="0"/>
        </stop>
        <stop position="1">
          <color theme="4" tint="0.59999389629810485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</fills>
  <borders count="25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/>
      <right style="thin">
        <color rgb="FFFF0000"/>
      </right>
      <top/>
      <bottom/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/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theme="3"/>
      </top>
      <bottom/>
      <diagonal/>
    </border>
  </borders>
  <cellStyleXfs count="2">
    <xf numFmtId="0" fontId="0" fillId="0" borderId="0"/>
    <xf numFmtId="0" fontId="5" fillId="0" borderId="0"/>
  </cellStyleXfs>
  <cellXfs count="9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Border="1" applyAlignment="1">
      <alignment horizontal="center"/>
    </xf>
    <xf numFmtId="0" fontId="1" fillId="5" borderId="13" xfId="0" applyFont="1" applyFill="1" applyBorder="1"/>
    <xf numFmtId="0" fontId="6" fillId="5" borderId="12" xfId="1" applyFont="1" applyFill="1" applyBorder="1" applyAlignment="1">
      <alignment horizontal="right" vertical="center"/>
    </xf>
    <xf numFmtId="164" fontId="6" fillId="5" borderId="12" xfId="0" applyNumberFormat="1" applyFont="1" applyFill="1" applyBorder="1" applyAlignment="1">
      <alignment vertical="center"/>
    </xf>
    <xf numFmtId="0" fontId="1" fillId="2" borderId="0" xfId="0" applyFont="1" applyFill="1" applyBorder="1"/>
    <xf numFmtId="0" fontId="1" fillId="2" borderId="20" xfId="0" applyFont="1" applyFill="1" applyBorder="1"/>
    <xf numFmtId="0" fontId="2" fillId="2" borderId="1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8" xfId="0" applyFont="1" applyFill="1" applyBorder="1"/>
    <xf numFmtId="0" fontId="1" fillId="2" borderId="7" xfId="0" applyFont="1" applyFill="1" applyBorder="1"/>
    <xf numFmtId="0" fontId="7" fillId="4" borderId="0" xfId="0" applyNumberFormat="1" applyFont="1" applyFill="1" applyBorder="1" applyAlignment="1">
      <alignment shrinkToFit="1"/>
    </xf>
    <xf numFmtId="0" fontId="7" fillId="4" borderId="0" xfId="0" applyNumberFormat="1" applyFont="1" applyFill="1" applyBorder="1" applyAlignment="1"/>
    <xf numFmtId="0" fontId="8" fillId="2" borderId="20" xfId="0" applyNumberFormat="1" applyFont="1" applyFill="1" applyBorder="1" applyAlignment="1">
      <alignment horizontal="left" shrinkToFit="1"/>
    </xf>
    <xf numFmtId="0" fontId="1" fillId="2" borderId="20" xfId="0" applyNumberFormat="1" applyFont="1" applyFill="1" applyBorder="1" applyAlignment="1">
      <alignment horizontal="left" shrinkToFit="1"/>
    </xf>
    <xf numFmtId="0" fontId="9" fillId="4" borderId="0" xfId="0" applyNumberFormat="1" applyFont="1" applyFill="1" applyBorder="1" applyAlignment="1">
      <alignment horizontal="center"/>
    </xf>
    <xf numFmtId="0" fontId="4" fillId="4" borderId="0" xfId="0" applyNumberFormat="1" applyFont="1" applyFill="1" applyBorder="1" applyAlignment="1">
      <alignment horizontal="center"/>
    </xf>
    <xf numFmtId="0" fontId="4" fillId="4" borderId="5" xfId="0" applyNumberFormat="1" applyFont="1" applyFill="1" applyBorder="1" applyAlignment="1">
      <alignment horizontal="center"/>
    </xf>
    <xf numFmtId="0" fontId="1" fillId="4" borderId="0" xfId="0" applyNumberFormat="1" applyFont="1" applyFill="1" applyBorder="1" applyAlignment="1">
      <alignment shrinkToFit="1"/>
    </xf>
    <xf numFmtId="0" fontId="4" fillId="4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4" borderId="0" xfId="0" applyFont="1" applyFill="1"/>
    <xf numFmtId="0" fontId="10" fillId="2" borderId="0" xfId="0" applyFont="1" applyFill="1" applyBorder="1" applyAlignment="1">
      <alignment vertical="center"/>
    </xf>
    <xf numFmtId="0" fontId="1" fillId="4" borderId="17" xfId="0" applyFont="1" applyFill="1" applyBorder="1"/>
    <xf numFmtId="0" fontId="7" fillId="4" borderId="1" xfId="0" applyNumberFormat="1" applyFont="1" applyFill="1" applyBorder="1" applyAlignment="1">
      <alignment shrinkToFit="1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7" fillId="4" borderId="2" xfId="0" applyNumberFormat="1" applyFont="1" applyFill="1" applyBorder="1" applyAlignment="1"/>
    <xf numFmtId="0" fontId="7" fillId="4" borderId="2" xfId="0" applyNumberFormat="1" applyFont="1" applyFill="1" applyBorder="1" applyAlignment="1">
      <alignment shrinkToFit="1"/>
    </xf>
    <xf numFmtId="0" fontId="1" fillId="2" borderId="5" xfId="0" applyFont="1" applyFill="1" applyBorder="1"/>
    <xf numFmtId="0" fontId="7" fillId="2" borderId="21" xfId="0" applyNumberFormat="1" applyFont="1" applyFill="1" applyBorder="1" applyAlignment="1">
      <alignment shrinkToFit="1"/>
    </xf>
    <xf numFmtId="0" fontId="7" fillId="2" borderId="22" xfId="0" applyNumberFormat="1" applyFont="1" applyFill="1" applyBorder="1" applyAlignment="1">
      <alignment shrinkToFit="1"/>
    </xf>
    <xf numFmtId="0" fontId="1" fillId="2" borderId="18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3" fillId="7" borderId="19" xfId="0" quotePrefix="1" applyFont="1" applyFill="1" applyBorder="1" applyAlignment="1">
      <alignment horizontal="center"/>
    </xf>
    <xf numFmtId="0" fontId="9" fillId="9" borderId="19" xfId="0" applyFont="1" applyFill="1" applyBorder="1" applyAlignment="1" applyProtection="1">
      <alignment horizontal="center"/>
      <protection locked="0"/>
    </xf>
    <xf numFmtId="0" fontId="9" fillId="9" borderId="19" xfId="0" applyNumberFormat="1" applyFont="1" applyFill="1" applyBorder="1" applyAlignment="1">
      <alignment horizontal="center" shrinkToFit="1"/>
    </xf>
    <xf numFmtId="0" fontId="9" fillId="9" borderId="19" xfId="0" applyNumberFormat="1" applyFont="1" applyFill="1" applyBorder="1" applyAlignment="1" applyProtection="1">
      <alignment horizontal="center" shrinkToFit="1"/>
      <protection locked="0"/>
    </xf>
    <xf numFmtId="0" fontId="1" fillId="3" borderId="2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 vertical="center"/>
    </xf>
    <xf numFmtId="14" fontId="3" fillId="8" borderId="12" xfId="0" applyNumberFormat="1" applyFont="1" applyFill="1" applyBorder="1" applyAlignment="1">
      <alignment horizontal="left" vertical="center"/>
    </xf>
    <xf numFmtId="0" fontId="3" fillId="8" borderId="12" xfId="0" applyFont="1" applyFill="1" applyBorder="1" applyAlignment="1">
      <alignment vertical="center"/>
    </xf>
    <xf numFmtId="0" fontId="6" fillId="5" borderId="12" xfId="1" applyFont="1" applyFill="1" applyBorder="1" applyAlignment="1">
      <alignment horizontal="right" vertical="center"/>
    </xf>
    <xf numFmtId="14" fontId="3" fillId="8" borderId="12" xfId="0" applyNumberFormat="1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center" vertical="top"/>
    </xf>
    <xf numFmtId="0" fontId="12" fillId="5" borderId="5" xfId="0" applyFont="1" applyFill="1" applyBorder="1" applyAlignment="1">
      <alignment horizontal="center" vertical="top"/>
    </xf>
    <xf numFmtId="0" fontId="12" fillId="5" borderId="6" xfId="0" applyFont="1" applyFill="1" applyBorder="1" applyAlignment="1">
      <alignment horizontal="center" vertical="top"/>
    </xf>
    <xf numFmtId="0" fontId="12" fillId="6" borderId="1" xfId="0" applyNumberFormat="1" applyFont="1" applyFill="1" applyBorder="1" applyAlignment="1">
      <alignment horizontal="center" shrinkToFit="1"/>
    </xf>
    <xf numFmtId="0" fontId="12" fillId="6" borderId="2" xfId="0" applyNumberFormat="1" applyFont="1" applyFill="1" applyBorder="1" applyAlignment="1">
      <alignment horizontal="center" shrinkToFit="1"/>
    </xf>
    <xf numFmtId="0" fontId="12" fillId="6" borderId="3" xfId="0" applyNumberFormat="1" applyFont="1" applyFill="1" applyBorder="1" applyAlignment="1">
      <alignment horizontal="center" shrinkToFit="1"/>
    </xf>
    <xf numFmtId="0" fontId="13" fillId="5" borderId="4" xfId="0" applyNumberFormat="1" applyFont="1" applyFill="1" applyBorder="1" applyAlignment="1">
      <alignment horizontal="center" vertical="top" shrinkToFit="1"/>
    </xf>
    <xf numFmtId="0" fontId="13" fillId="5" borderId="5" xfId="0" applyNumberFormat="1" applyFont="1" applyFill="1" applyBorder="1" applyAlignment="1">
      <alignment horizontal="center" vertical="top" shrinkToFit="1"/>
    </xf>
    <xf numFmtId="0" fontId="13" fillId="5" borderId="6" xfId="0" applyNumberFormat="1" applyFont="1" applyFill="1" applyBorder="1" applyAlignment="1">
      <alignment horizontal="center" vertical="top" shrinkToFit="1"/>
    </xf>
    <xf numFmtId="0" fontId="12" fillId="6" borderId="1" xfId="0" applyFont="1" applyFill="1" applyBorder="1" applyAlignment="1">
      <alignment horizontal="center" shrinkToFit="1"/>
    </xf>
    <xf numFmtId="0" fontId="12" fillId="6" borderId="2" xfId="0" applyFont="1" applyFill="1" applyBorder="1" applyAlignment="1">
      <alignment horizontal="center" shrinkToFit="1"/>
    </xf>
    <xf numFmtId="0" fontId="3" fillId="8" borderId="11" xfId="0" applyFont="1" applyFill="1" applyBorder="1" applyAlignment="1">
      <alignment horizontal="right" vertical="center"/>
    </xf>
    <xf numFmtId="0" fontId="3" fillId="8" borderId="12" xfId="0" applyFont="1" applyFill="1" applyBorder="1" applyAlignment="1">
      <alignment horizontal="right" vertical="center"/>
    </xf>
    <xf numFmtId="164" fontId="6" fillId="5" borderId="12" xfId="0" applyNumberFormat="1" applyFont="1" applyFill="1" applyBorder="1" applyAlignment="1">
      <alignment horizontal="left" vertical="center"/>
    </xf>
    <xf numFmtId="0" fontId="6" fillId="5" borderId="11" xfId="1" applyFont="1" applyFill="1" applyBorder="1" applyAlignment="1">
      <alignment horizontal="left" vertical="center" shrinkToFit="1"/>
    </xf>
    <xf numFmtId="0" fontId="6" fillId="5" borderId="12" xfId="1" applyFont="1" applyFill="1" applyBorder="1" applyAlignment="1">
      <alignment horizontal="left" vertical="center" shrinkToFit="1"/>
    </xf>
    <xf numFmtId="0" fontId="6" fillId="5" borderId="12" xfId="1" applyFont="1" applyFill="1" applyBorder="1" applyAlignment="1">
      <alignment horizontal="right" vertical="center"/>
    </xf>
    <xf numFmtId="14" fontId="3" fillId="8" borderId="12" xfId="0" applyNumberFormat="1" applyFont="1" applyFill="1" applyBorder="1" applyAlignment="1">
      <alignment horizontal="left" vertical="center"/>
    </xf>
    <xf numFmtId="0" fontId="12" fillId="6" borderId="3" xfId="0" applyFont="1" applyFill="1" applyBorder="1" applyAlignment="1">
      <alignment horizontal="center" shrinkToFit="1"/>
    </xf>
    <xf numFmtId="0" fontId="1" fillId="3" borderId="8" xfId="0" applyFont="1" applyFill="1" applyBorder="1" applyAlignment="1">
      <alignment horizontal="right" vertical="center"/>
    </xf>
    <xf numFmtId="0" fontId="1" fillId="3" borderId="14" xfId="0" applyFont="1" applyFill="1" applyBorder="1" applyAlignment="1">
      <alignment horizontal="righ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3" fillId="7" borderId="1" xfId="0" quotePrefix="1" applyFont="1" applyFill="1" applyBorder="1" applyAlignment="1">
      <alignment horizontal="center" wrapText="1" shrinkToFit="1"/>
    </xf>
    <xf numFmtId="0" fontId="3" fillId="7" borderId="2" xfId="0" quotePrefix="1" applyFont="1" applyFill="1" applyBorder="1" applyAlignment="1">
      <alignment horizontal="center" wrapText="1" shrinkToFit="1"/>
    </xf>
    <xf numFmtId="0" fontId="3" fillId="7" borderId="3" xfId="0" quotePrefix="1" applyFont="1" applyFill="1" applyBorder="1" applyAlignment="1">
      <alignment horizontal="center" wrapText="1" shrinkToFit="1"/>
    </xf>
    <xf numFmtId="0" fontId="3" fillId="9" borderId="4" xfId="0" quotePrefix="1" applyFont="1" applyFill="1" applyBorder="1" applyAlignment="1">
      <alignment horizontal="center" wrapText="1" shrinkToFit="1"/>
    </xf>
    <xf numFmtId="0" fontId="3" fillId="9" borderId="5" xfId="0" quotePrefix="1" applyFont="1" applyFill="1" applyBorder="1" applyAlignment="1">
      <alignment horizontal="center" wrapText="1" shrinkToFit="1"/>
    </xf>
    <xf numFmtId="0" fontId="3" fillId="9" borderId="6" xfId="0" quotePrefix="1" applyFont="1" applyFill="1" applyBorder="1" applyAlignment="1">
      <alignment horizontal="center" wrapText="1" shrinkToFit="1"/>
    </xf>
    <xf numFmtId="0" fontId="12" fillId="5" borderId="4" xfId="0" applyNumberFormat="1" applyFont="1" applyFill="1" applyBorder="1" applyAlignment="1">
      <alignment horizontal="center" vertical="top" shrinkToFit="1"/>
    </xf>
    <xf numFmtId="0" fontId="12" fillId="5" borderId="5" xfId="0" applyNumberFormat="1" applyFont="1" applyFill="1" applyBorder="1" applyAlignment="1">
      <alignment horizontal="center" vertical="top" shrinkToFit="1"/>
    </xf>
    <xf numFmtId="0" fontId="12" fillId="5" borderId="6" xfId="0" applyNumberFormat="1" applyFont="1" applyFill="1" applyBorder="1" applyAlignment="1">
      <alignment horizontal="center" vertical="top" shrinkToFit="1"/>
    </xf>
    <xf numFmtId="0" fontId="1" fillId="4" borderId="2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>163280</v>
        <stp/>
        <stp>ContractData</stp>
        <stp>USA?2</stp>
        <stp>Low</stp>
        <stp/>
        <stp>F</stp>
        <tr r="T25" s="8"/>
        <tr r="T25" s="16"/>
      </tp>
      <tp t="s">
        <v>165060</v>
        <stp/>
        <stp>ContractData</stp>
        <stp>USA?1</stp>
        <stp>Low</stp>
        <stp/>
        <stp>F</stp>
        <tr r="G25" s="8"/>
        <tr r="G25" s="16"/>
      </tp>
      <tp t="s">
        <v>164120</v>
        <stp/>
        <stp>ContractData</stp>
        <stp>USA?2</stp>
        <stp>Ask</stp>
        <stp/>
        <stp>F</stp>
        <tr r="W25" s="8"/>
        <tr r="W25" s="16"/>
      </tp>
      <tp t="s">
        <v>165220</v>
        <stp/>
        <stp>ContractData</stp>
        <stp>USA?1</stp>
        <stp>Ask</stp>
        <stp/>
        <stp>F</stp>
        <tr r="J25" s="8"/>
        <tr r="J25" s="16"/>
      </tp>
      <tp t="s">
        <v>165210</v>
        <stp/>
        <stp>ContractData</stp>
        <stp>USA?1</stp>
        <stp>Bid</stp>
        <stp/>
        <stp>F</stp>
        <tr r="I25" s="8"/>
        <tr r="I25" s="16"/>
      </tp>
      <tp t="s">
        <v>164100</v>
        <stp/>
        <stp>ContractData</stp>
        <stp>USA?2</stp>
        <stp>Bid</stp>
        <stp/>
        <stp>F</stp>
        <tr r="V25" s="8"/>
        <tr r="V25" s="16"/>
      </tp>
      <tp>
        <v>26247</v>
        <stp/>
        <stp>StudyData</stp>
        <stp>TYA?2</stp>
        <stp>Vol</stp>
        <stp>VolType=auto,CoCType=Contract</stp>
        <stp>Vol</stp>
        <stp>D</stp>
        <stp>0</stp>
        <stp>ALL</stp>
        <stp/>
        <stp/>
        <stp>TRUE</stp>
        <stp>T</stp>
        <tr r="AA11" s="8"/>
        <tr r="AA11" s="16"/>
      </tp>
      <tp>
        <v>1103532</v>
        <stp/>
        <stp>StudyData</stp>
        <stp>TYA?1</stp>
        <stp>Vol</stp>
        <stp>VolType=auto,CoCType=Contract</stp>
        <stp>Vol</stp>
        <stp>D</stp>
        <stp>0</stp>
        <stp>ALL</stp>
        <stp/>
        <stp/>
        <stp>TRUE</stp>
        <stp>T</stp>
        <tr r="AB11" s="8"/>
        <tr r="AB11" s="16"/>
      </tp>
      <tp t="s">
        <v>130080</v>
        <stp/>
        <stp>ContractData</stp>
        <stp>TYA?2</stp>
        <stp>Low</stp>
        <stp/>
        <stp>F</stp>
        <tr r="T6" s="8"/>
        <tr r="T6" s="16"/>
      </tp>
      <tp t="s">
        <v>130200</v>
        <stp/>
        <stp>ContractData</stp>
        <stp>TYA?1</stp>
        <stp>Low</stp>
        <stp/>
        <stp>F</stp>
        <tr r="G6" s="8"/>
        <tr r="G6" s="16"/>
      </tp>
      <tp t="s">
        <v>130190</v>
        <stp/>
        <stp>ContractData</stp>
        <stp>TYA?2</stp>
        <stp>Ask</stp>
        <stp/>
        <stp>F</stp>
        <tr r="W6" s="8"/>
        <tr r="W6" s="16"/>
      </tp>
      <tp t="s">
        <v>13030+</v>
        <stp/>
        <stp>ContractData</stp>
        <stp>TYA?1</stp>
        <stp>Ask</stp>
        <stp/>
        <stp>F</stp>
        <tr r="J6" s="8"/>
        <tr r="J6" s="16"/>
      </tp>
      <tp t="s">
        <v>130300</v>
        <stp/>
        <stp>ContractData</stp>
        <stp>TYA?1</stp>
        <stp>Bid</stp>
        <stp/>
        <stp>F</stp>
        <tr r="I6" s="8"/>
        <tr r="I6" s="16"/>
      </tp>
      <tp t="s">
        <v>130180</v>
        <stp/>
        <stp>ContractData</stp>
        <stp>TYA?2</stp>
        <stp>Bid</stp>
        <stp/>
        <stp>F</stp>
        <tr r="V6" s="8"/>
        <tr r="V6" s="16"/>
      </tp>
      <tp>
        <v>1366</v>
        <stp/>
        <stp>StudyData</stp>
        <stp>USA?2</stp>
        <stp>Vol</stp>
        <stp>VolType=auto,CoCType=Contract</stp>
        <stp>Vol</stp>
        <stp>D</stp>
        <stp>0</stp>
        <stp>ALL</stp>
        <stp/>
        <stp/>
        <stp>TRUE</stp>
        <stp>T</stp>
        <tr r="AA30" s="8"/>
        <tr r="AA30" s="16"/>
      </tp>
      <tp>
        <v>209820</v>
        <stp/>
        <stp>StudyData</stp>
        <stp>USA?1</stp>
        <stp>Vol</stp>
        <stp>VolType=auto,CoCType=Contract</stp>
        <stp>Vol</stp>
        <stp>D</stp>
        <stp>0</stp>
        <stp>ALL</stp>
        <stp/>
        <stp/>
        <stp>TRUE</stp>
        <stp>T</stp>
        <tr r="AB30" s="8"/>
        <tr r="AB30" s="16"/>
      </tp>
      <tp>
        <v>165170</v>
        <stp/>
        <stp>DOMData</stp>
        <stp>USA?1</stp>
        <stp>Price</stp>
        <stp>-5</stp>
        <tr r="K40" s="8"/>
        <tr r="K40" s="16"/>
      </tp>
      <tp>
        <v>165180</v>
        <stp/>
        <stp>DOMData</stp>
        <stp>USA?1</stp>
        <stp>Price</stp>
        <stp>-4</stp>
        <tr r="K39" s="16"/>
        <tr r="K39" s="8"/>
      </tp>
      <tp>
        <v>165210</v>
        <stp/>
        <stp>DOMData</stp>
        <stp>USA?1</stp>
        <stp>Price</stp>
        <stp>-1</stp>
        <tr r="K36" s="16"/>
        <tr r="K36" s="8"/>
      </tp>
      <tp>
        <v>165190</v>
        <stp/>
        <stp>DOMData</stp>
        <stp>USA?1</stp>
        <stp>Price</stp>
        <stp>-3</stp>
        <tr r="K38" s="16"/>
        <tr r="K38" s="8"/>
      </tp>
      <tp>
        <v>165200</v>
        <stp/>
        <stp>DOMData</stp>
        <stp>USA?1</stp>
        <stp>Price</stp>
        <stp>-2</stp>
        <tr r="K37" s="8"/>
        <tr r="K37" s="16"/>
      </tp>
      <tp>
        <v>130280</v>
        <stp/>
        <stp>DOMData</stp>
        <stp>TYA?1</stp>
        <stp>Price</stp>
        <stp>-5</stp>
        <tr r="K21" s="8"/>
        <tr r="O21" s="8"/>
        <tr r="O21" s="16"/>
        <tr r="K21" s="16"/>
      </tp>
      <tp>
        <v>130285</v>
        <stp/>
        <stp>DOMData</stp>
        <stp>TYA?1</stp>
        <stp>Price</stp>
        <stp>-4</stp>
        <tr r="K20" s="8"/>
        <tr r="O20" s="16"/>
        <tr r="O20" s="8"/>
        <tr r="K20" s="16"/>
      </tp>
      <tp>
        <v>130290</v>
        <stp/>
        <stp>DOMData</stp>
        <stp>TYA?1</stp>
        <stp>Price</stp>
        <stp>-3</stp>
        <tr r="K19" s="8"/>
        <tr r="O19" s="8"/>
        <tr r="K19" s="16"/>
        <tr r="O19" s="16"/>
      </tp>
      <tp>
        <v>130295</v>
        <stp/>
        <stp>DOMData</stp>
        <stp>TYA?1</stp>
        <stp>Price</stp>
        <stp>-2</stp>
        <tr r="K18" s="8"/>
        <tr r="K18" s="16"/>
        <tr r="O18" s="16"/>
        <tr r="O18" s="8"/>
      </tp>
      <tp>
        <v>130300</v>
        <stp/>
        <stp>DOMData</stp>
        <stp>TYA?1</stp>
        <stp>Price</stp>
        <stp>-1</stp>
        <tr r="K17" s="8"/>
        <tr r="O17" s="8"/>
        <tr r="K17" s="16"/>
        <tr r="O17" s="16"/>
      </tp>
      <tp>
        <v>164060</v>
        <stp/>
        <stp>DOMData</stp>
        <stp>USA?2</stp>
        <stp>Price</stp>
        <stp>-5</stp>
        <tr r="O40" s="16"/>
        <tr r="O40" s="8"/>
      </tp>
      <tp>
        <v>164070</v>
        <stp/>
        <stp>DOMData</stp>
        <stp>USA?2</stp>
        <stp>Price</stp>
        <stp>-4</stp>
        <tr r="O39" s="8"/>
        <tr r="O39" s="16"/>
      </tp>
      <tp>
        <v>164100</v>
        <stp/>
        <stp>DOMData</stp>
        <stp>USA?2</stp>
        <stp>Price</stp>
        <stp>-1</stp>
        <tr r="O36" s="16"/>
        <tr r="O36" s="8"/>
      </tp>
      <tp>
        <v>164080</v>
        <stp/>
        <stp>DOMData</stp>
        <stp>USA?2</stp>
        <stp>Price</stp>
        <stp>-3</stp>
        <tr r="O38" s="16"/>
        <tr r="O38" s="8"/>
      </tp>
      <tp>
        <v>164090</v>
        <stp/>
        <stp>DOMData</stp>
        <stp>USA?2</stp>
        <stp>Price</stp>
        <stp>-2</stp>
        <tr r="O37" s="8"/>
        <tr r="O37" s="16"/>
      </tp>
      <tp>
        <v>19958</v>
        <stp/>
        <stp>StudyData</stp>
        <stp>TYA?2</stp>
        <stp>Vol</stp>
        <stp>VolType=auto,CoCType=Contract</stp>
        <stp>Vol</stp>
        <stp>D</stp>
        <stp>-8</stp>
        <stp>ALL</stp>
        <stp/>
        <stp/>
        <stp>TRUE</stp>
        <stp>T</stp>
        <tr r="AA19" s="8"/>
        <tr r="AA19" s="16"/>
      </tp>
      <tp>
        <v>3604</v>
        <stp/>
        <stp>StudyData</stp>
        <stp>USA?2</stp>
        <stp>Vol</stp>
        <stp>VolType=auto,CoCType=Contract</stp>
        <stp>Vol</stp>
        <stp>D</stp>
        <stp>-8</stp>
        <stp>ALL</stp>
        <stp/>
        <stp/>
        <stp>TRUE</stp>
        <stp>T</stp>
        <tr r="AA38" s="8"/>
        <tr r="AA38" s="16"/>
      </tp>
      <tp>
        <v>391465</v>
        <stp/>
        <stp>StudyData</stp>
        <stp>USA?1</stp>
        <stp>Vol</stp>
        <stp>VolType=auto,CoCType=Contract</stp>
        <stp>Vol</stp>
        <stp>D</stp>
        <stp>-8</stp>
        <stp>ALL</stp>
        <stp/>
        <stp/>
        <stp>TRUE</stp>
        <stp>T</stp>
        <tr r="AB38" s="8"/>
        <tr r="AB38" s="16"/>
      </tp>
      <tp>
        <v>1998839</v>
        <stp/>
        <stp>StudyData</stp>
        <stp>TYA?1</stp>
        <stp>Vol</stp>
        <stp>VolType=auto,CoCType=Contract</stp>
        <stp>Vol</stp>
        <stp>D</stp>
        <stp>-8</stp>
        <stp>ALL</stp>
        <stp/>
        <stp/>
        <stp>TRUE</stp>
        <stp>T</stp>
        <tr r="AB19" s="8"/>
        <tr r="AB19" s="16"/>
      </tp>
      <tp>
        <v>23627</v>
        <stp/>
        <stp>StudyData</stp>
        <stp>TYA?2</stp>
        <stp>Vol</stp>
        <stp>VolType=auto,CoCType=Contract</stp>
        <stp>Vol</stp>
        <stp>D</stp>
        <stp>-9</stp>
        <stp>ALL</stp>
        <stp/>
        <stp/>
        <stp>TRUE</stp>
        <stp>T</stp>
        <tr r="AA20" s="8"/>
        <tr r="AA20" s="16"/>
      </tp>
      <tp>
        <v>1506</v>
        <stp/>
        <stp>StudyData</stp>
        <stp>USA?2</stp>
        <stp>Vol</stp>
        <stp>VolType=auto,CoCType=Contract</stp>
        <stp>Vol</stp>
        <stp>D</stp>
        <stp>-9</stp>
        <stp>ALL</stp>
        <stp/>
        <stp/>
        <stp>TRUE</stp>
        <stp>T</stp>
        <tr r="AA39" s="8"/>
        <tr r="AA39" s="16"/>
      </tp>
      <tp>
        <v>294507</v>
        <stp/>
        <stp>StudyData</stp>
        <stp>USA?1</stp>
        <stp>Vol</stp>
        <stp>VolType=auto,CoCType=Contract</stp>
        <stp>Vol</stp>
        <stp>D</stp>
        <stp>-9</stp>
        <stp>ALL</stp>
        <stp/>
        <stp/>
        <stp>TRUE</stp>
        <stp>T</stp>
        <tr r="AB39" s="8"/>
        <tr r="AB39" s="16"/>
      </tp>
      <tp>
        <v>1420462</v>
        <stp/>
        <stp>StudyData</stp>
        <stp>TYA?1</stp>
        <stp>Vol</stp>
        <stp>VolType=auto,CoCType=Contract</stp>
        <stp>Vol</stp>
        <stp>D</stp>
        <stp>-9</stp>
        <stp>ALL</stp>
        <stp/>
        <stp/>
        <stp>TRUE</stp>
        <stp>T</stp>
        <tr r="AB20" s="8"/>
        <tr r="AB20" s="16"/>
      </tp>
      <tp>
        <v>43446</v>
        <stp/>
        <stp>StudyData</stp>
        <stp>TYA?2</stp>
        <stp>Vol</stp>
        <stp>VolType=auto,CoCType=Contract</stp>
        <stp>Vol</stp>
        <stp>D</stp>
        <stp>-4</stp>
        <stp>ALL</stp>
        <stp/>
        <stp/>
        <stp>TRUE</stp>
        <stp>T</stp>
        <tr r="AA15" s="8"/>
        <tr r="AA15" s="16"/>
      </tp>
      <tp>
        <v>2867</v>
        <stp/>
        <stp>StudyData</stp>
        <stp>USA?2</stp>
        <stp>Vol</stp>
        <stp>VolType=auto,CoCType=Contract</stp>
        <stp>Vol</stp>
        <stp>D</stp>
        <stp>-4</stp>
        <stp>ALL</stp>
        <stp/>
        <stp/>
        <stp>TRUE</stp>
        <stp>T</stp>
        <tr r="AA34" s="8"/>
        <tr r="AA34" s="16"/>
      </tp>
      <tp>
        <v>375240</v>
        <stp/>
        <stp>StudyData</stp>
        <stp>USA?1</stp>
        <stp>Vol</stp>
        <stp>VolType=auto,CoCType=Contract</stp>
        <stp>Vol</stp>
        <stp>D</stp>
        <stp>-4</stp>
        <stp>ALL</stp>
        <stp/>
        <stp/>
        <stp>TRUE</stp>
        <stp>T</stp>
        <tr r="AB34" s="8"/>
        <tr r="AB34" s="16"/>
      </tp>
      <tp>
        <v>1993045</v>
        <stp/>
        <stp>StudyData</stp>
        <stp>TYA?1</stp>
        <stp>Vol</stp>
        <stp>VolType=auto,CoCType=Contract</stp>
        <stp>Vol</stp>
        <stp>D</stp>
        <stp>-4</stp>
        <stp>ALL</stp>
        <stp/>
        <stp/>
        <stp>TRUE</stp>
        <stp>T</stp>
        <tr r="AB15" s="8"/>
        <tr r="AB15" s="16"/>
      </tp>
      <tp>
        <v>13968</v>
        <stp/>
        <stp>StudyData</stp>
        <stp>TYA?2</stp>
        <stp>Vol</stp>
        <stp>VolType=auto,CoCType=Contract</stp>
        <stp>Vol</stp>
        <stp>D</stp>
        <stp>-5</stp>
        <stp>ALL</stp>
        <stp/>
        <stp/>
        <stp>TRUE</stp>
        <stp>T</stp>
        <tr r="AA16" s="8"/>
        <tr r="AA16" s="16"/>
      </tp>
      <tp>
        <v>3476</v>
        <stp/>
        <stp>StudyData</stp>
        <stp>USA?2</stp>
        <stp>Vol</stp>
        <stp>VolType=auto,CoCType=Contract</stp>
        <stp>Vol</stp>
        <stp>D</stp>
        <stp>-5</stp>
        <stp>ALL</stp>
        <stp/>
        <stp/>
        <stp>TRUE</stp>
        <stp>T</stp>
        <tr r="AA35" s="8"/>
        <tr r="AA35" s="16"/>
      </tp>
      <tp>
        <v>363230</v>
        <stp/>
        <stp>StudyData</stp>
        <stp>USA?1</stp>
        <stp>Vol</stp>
        <stp>VolType=auto,CoCType=Contract</stp>
        <stp>Vol</stp>
        <stp>D</stp>
        <stp>-5</stp>
        <stp>ALL</stp>
        <stp/>
        <stp/>
        <stp>TRUE</stp>
        <stp>T</stp>
        <tr r="AB35" s="8"/>
        <tr r="AB35" s="16"/>
      </tp>
      <tp>
        <v>1675081</v>
        <stp/>
        <stp>StudyData</stp>
        <stp>TYA?1</stp>
        <stp>Vol</stp>
        <stp>VolType=auto,CoCType=Contract</stp>
        <stp>Vol</stp>
        <stp>D</stp>
        <stp>-5</stp>
        <stp>ALL</stp>
        <stp/>
        <stp/>
        <stp>TRUE</stp>
        <stp>T</stp>
        <tr r="AB16" s="8"/>
        <tr r="AB16" s="16"/>
      </tp>
      <tp>
        <v>11200</v>
        <stp/>
        <stp>StudyData</stp>
        <stp>TYA?2</stp>
        <stp>Vol</stp>
        <stp>VolType=auto,CoCType=Contract</stp>
        <stp>Vol</stp>
        <stp>D</stp>
        <stp>-6</stp>
        <stp>ALL</stp>
        <stp/>
        <stp/>
        <stp>TRUE</stp>
        <stp>T</stp>
        <tr r="AA17" s="8"/>
        <tr r="AA17" s="16"/>
      </tp>
      <tp>
        <v>1346</v>
        <stp/>
        <stp>StudyData</stp>
        <stp>USA?2</stp>
        <stp>Vol</stp>
        <stp>VolType=auto,CoCType=Contract</stp>
        <stp>Vol</stp>
        <stp>D</stp>
        <stp>-6</stp>
        <stp>ALL</stp>
        <stp/>
        <stp/>
        <stp>TRUE</stp>
        <stp>T</stp>
        <tr r="AA36" s="8"/>
        <tr r="AA36" s="16"/>
      </tp>
      <tp>
        <v>351374</v>
        <stp/>
        <stp>StudyData</stp>
        <stp>USA?1</stp>
        <stp>Vol</stp>
        <stp>VolType=auto,CoCType=Contract</stp>
        <stp>Vol</stp>
        <stp>D</stp>
        <stp>-6</stp>
        <stp>ALL</stp>
        <stp/>
        <stp/>
        <stp>TRUE</stp>
        <stp>T</stp>
        <tr r="AB36" s="8"/>
        <tr r="AB36" s="16"/>
      </tp>
      <tp>
        <v>1837286</v>
        <stp/>
        <stp>StudyData</stp>
        <stp>TYA?1</stp>
        <stp>Vol</stp>
        <stp>VolType=auto,CoCType=Contract</stp>
        <stp>Vol</stp>
        <stp>D</stp>
        <stp>-6</stp>
        <stp>ALL</stp>
        <stp/>
        <stp/>
        <stp>TRUE</stp>
        <stp>T</stp>
        <tr r="AB17" s="8"/>
        <tr r="AB17" s="16"/>
      </tp>
      <tp>
        <v>18087</v>
        <stp/>
        <stp>StudyData</stp>
        <stp>TYA?2</stp>
        <stp>Vol</stp>
        <stp>VolType=auto,CoCType=Contract</stp>
        <stp>Vol</stp>
        <stp>D</stp>
        <stp>-7</stp>
        <stp>ALL</stp>
        <stp/>
        <stp/>
        <stp>TRUE</stp>
        <stp>T</stp>
        <tr r="AA18" s="8"/>
        <tr r="AA18" s="16"/>
      </tp>
      <tp>
        <v>1992</v>
        <stp/>
        <stp>StudyData</stp>
        <stp>USA?2</stp>
        <stp>Vol</stp>
        <stp>VolType=auto,CoCType=Contract</stp>
        <stp>Vol</stp>
        <stp>D</stp>
        <stp>-7</stp>
        <stp>ALL</stp>
        <stp/>
        <stp/>
        <stp>TRUE</stp>
        <stp>T</stp>
        <tr r="AA37" s="8"/>
        <tr r="AA37" s="16"/>
      </tp>
      <tp>
        <v>300176</v>
        <stp/>
        <stp>StudyData</stp>
        <stp>USA?1</stp>
        <stp>Vol</stp>
        <stp>VolType=auto,CoCType=Contract</stp>
        <stp>Vol</stp>
        <stp>D</stp>
        <stp>-7</stp>
        <stp>ALL</stp>
        <stp/>
        <stp/>
        <stp>TRUE</stp>
        <stp>T</stp>
        <tr r="AB37" s="8"/>
        <tr r="AB37" s="16"/>
      </tp>
      <tp>
        <v>1708898</v>
        <stp/>
        <stp>StudyData</stp>
        <stp>TYA?1</stp>
        <stp>Vol</stp>
        <stp>VolType=auto,CoCType=Contract</stp>
        <stp>Vol</stp>
        <stp>D</stp>
        <stp>-7</stp>
        <stp>ALL</stp>
        <stp/>
        <stp/>
        <stp>TRUE</stp>
        <stp>T</stp>
        <tr r="AB18" s="8"/>
        <tr r="AB18" s="16"/>
      </tp>
      <tp>
        <v>38481</v>
        <stp/>
        <stp>StudyData</stp>
        <stp>TYA?2</stp>
        <stp>Vol</stp>
        <stp>VolType=auto,CoCType=Contract</stp>
        <stp>Vol</stp>
        <stp>D</stp>
        <stp>-1</stp>
        <stp>ALL</stp>
        <stp/>
        <stp/>
        <stp>TRUE</stp>
        <stp>T</stp>
        <tr r="AA12" s="8"/>
        <tr r="AA12" s="16"/>
      </tp>
      <tp>
        <v>4543</v>
        <stp/>
        <stp>StudyData</stp>
        <stp>USA?2</stp>
        <stp>Vol</stp>
        <stp>VolType=auto,CoCType=Contract</stp>
        <stp>Vol</stp>
        <stp>D</stp>
        <stp>-1</stp>
        <stp>ALL</stp>
        <stp/>
        <stp/>
        <stp>TRUE</stp>
        <stp>T</stp>
        <tr r="AA31" s="8"/>
        <tr r="AA31" s="16"/>
      </tp>
      <tp>
        <v>341455</v>
        <stp/>
        <stp>StudyData</stp>
        <stp>USA?1</stp>
        <stp>Vol</stp>
        <stp>VolType=auto,CoCType=Contract</stp>
        <stp>Vol</stp>
        <stp>D</stp>
        <stp>-1</stp>
        <stp>ALL</stp>
        <stp/>
        <stp/>
        <stp>TRUE</stp>
        <stp>T</stp>
        <tr r="AB31" s="8"/>
        <tr r="AB31" s="16"/>
      </tp>
      <tp>
        <v>1727313</v>
        <stp/>
        <stp>StudyData</stp>
        <stp>TYA?1</stp>
        <stp>Vol</stp>
        <stp>VolType=auto,CoCType=Contract</stp>
        <stp>Vol</stp>
        <stp>D</stp>
        <stp>-1</stp>
        <stp>ALL</stp>
        <stp/>
        <stp/>
        <stp>TRUE</stp>
        <stp>T</stp>
        <tr r="AB12" s="8"/>
        <tr r="AB12" s="16"/>
      </tp>
      <tp>
        <v>48375</v>
        <stp/>
        <stp>StudyData</stp>
        <stp>TYA?2</stp>
        <stp>Vol</stp>
        <stp>VolType=auto,CoCType=Contract</stp>
        <stp>Vol</stp>
        <stp>D</stp>
        <stp>-2</stp>
        <stp>ALL</stp>
        <stp/>
        <stp/>
        <stp>TRUE</stp>
        <stp>T</stp>
        <tr r="AA13" s="8"/>
        <tr r="AA13" s="16"/>
      </tp>
      <tp>
        <v>4370</v>
        <stp/>
        <stp>StudyData</stp>
        <stp>USA?2</stp>
        <stp>Vol</stp>
        <stp>VolType=auto,CoCType=Contract</stp>
        <stp>Vol</stp>
        <stp>D</stp>
        <stp>-2</stp>
        <stp>ALL</stp>
        <stp/>
        <stp/>
        <stp>TRUE</stp>
        <stp>T</stp>
        <tr r="AA32" s="8"/>
        <tr r="AA32" s="16"/>
      </tp>
      <tp>
        <v>558537</v>
        <stp/>
        <stp>StudyData</stp>
        <stp>USA?1</stp>
        <stp>Vol</stp>
        <stp>VolType=auto,CoCType=Contract</stp>
        <stp>Vol</stp>
        <stp>D</stp>
        <stp>-2</stp>
        <stp>ALL</stp>
        <stp/>
        <stp/>
        <stp>TRUE</stp>
        <stp>T</stp>
        <tr r="AB32" s="8"/>
        <tr r="AB32" s="16"/>
      </tp>
      <tp>
        <v>2468876</v>
        <stp/>
        <stp>StudyData</stp>
        <stp>TYA?1</stp>
        <stp>Vol</stp>
        <stp>VolType=auto,CoCType=Contract</stp>
        <stp>Vol</stp>
        <stp>D</stp>
        <stp>-2</stp>
        <stp>ALL</stp>
        <stp/>
        <stp/>
        <stp>TRUE</stp>
        <stp>T</stp>
        <tr r="AB13" s="8"/>
        <tr r="AB13" s="16"/>
      </tp>
      <tp>
        <v>41849</v>
        <stp/>
        <stp>StudyData</stp>
        <stp>TYA?2</stp>
        <stp>Vol</stp>
        <stp>VolType=auto,CoCType=Contract</stp>
        <stp>Vol</stp>
        <stp>D</stp>
        <stp>-3</stp>
        <stp>ALL</stp>
        <stp/>
        <stp/>
        <stp>TRUE</stp>
        <stp>T</stp>
        <tr r="AA14" s="8"/>
        <tr r="AA14" s="16"/>
      </tp>
      <tp>
        <v>4768</v>
        <stp/>
        <stp>StudyData</stp>
        <stp>USA?2</stp>
        <stp>Vol</stp>
        <stp>VolType=auto,CoCType=Contract</stp>
        <stp>Vol</stp>
        <stp>D</stp>
        <stp>-3</stp>
        <stp>ALL</stp>
        <stp/>
        <stp/>
        <stp>TRUE</stp>
        <stp>T</stp>
        <tr r="AA33" s="8"/>
        <tr r="AA33" s="16"/>
      </tp>
      <tp>
        <v>329883</v>
        <stp/>
        <stp>StudyData</stp>
        <stp>USA?1</stp>
        <stp>Vol</stp>
        <stp>VolType=auto,CoCType=Contract</stp>
        <stp>Vol</stp>
        <stp>D</stp>
        <stp>-3</stp>
        <stp>ALL</stp>
        <stp/>
        <stp/>
        <stp>TRUE</stp>
        <stp>T</stp>
        <tr r="AB33" s="8"/>
        <tr r="AB33" s="16"/>
      </tp>
      <tp>
        <v>1781823</v>
        <stp/>
        <stp>StudyData</stp>
        <stp>TYA?1</stp>
        <stp>Vol</stp>
        <stp>VolType=auto,CoCType=Contract</stp>
        <stp>Vol</stp>
        <stp>D</stp>
        <stp>-3</stp>
        <stp>ALL</stp>
        <stp/>
        <stp/>
        <stp>TRUE</stp>
        <stp>T</stp>
        <tr r="AB14" s="8"/>
        <tr r="AB14" s="16"/>
      </tp>
      <tp>
        <v>1580</v>
        <stp/>
        <stp>DOMData</stp>
        <stp>TYA?1</stp>
        <stp>Volume</stp>
        <stp>2</stp>
        <stp>T</stp>
        <tr r="J14" s="8"/>
        <tr r="J14" s="16"/>
      </tp>
      <tp>
        <v>421</v>
        <stp/>
        <stp>DOMData</stp>
        <stp>TYA?2</stp>
        <stp>Volume</stp>
        <stp>2</stp>
        <stp>T</stp>
        <tr r="P14" s="8"/>
        <tr r="P14" s="16"/>
      </tp>
      <tp>
        <v>2497</v>
        <stp/>
        <stp>DOMData</stp>
        <stp>TYA?1</stp>
        <stp>Volume</stp>
        <stp>3</stp>
        <stp>T</stp>
        <tr r="J13" s="8"/>
        <tr r="J13" s="16"/>
      </tp>
      <tp>
        <v>417</v>
        <stp/>
        <stp>DOMData</stp>
        <stp>TYA?2</stp>
        <stp>Volume</stp>
        <stp>3</stp>
        <stp>T</stp>
        <tr r="P13" s="16"/>
        <tr r="P13" s="8"/>
      </tp>
      <tp>
        <v>298</v>
        <stp/>
        <stp>DOMData</stp>
        <stp>TYA?1</stp>
        <stp>Volume</stp>
        <stp>1</stp>
        <stp>T</stp>
        <tr r="J15" s="8"/>
        <tr r="J15" s="16"/>
      </tp>
      <tp>
        <v>389</v>
        <stp/>
        <stp>DOMData</stp>
        <stp>TYA?2</stp>
        <stp>Volume</stp>
        <stp>1</stp>
        <stp>T</stp>
        <tr r="P15" s="8"/>
        <tr r="P15" s="16"/>
      </tp>
      <tp>
        <v>4280</v>
        <stp/>
        <stp>StudyData</stp>
        <stp>USA?2</stp>
        <stp>VolOI</stp>
        <stp>OIType=Contract</stp>
        <stp>OI</stp>
        <stp>D</stp>
        <stp>-10</stp>
        <stp>all</stp>
        <stp/>
        <stp/>
        <stp/>
        <stp>T</stp>
        <tr r="AE39" s="8"/>
        <tr r="AE39" s="8"/>
        <tr r="AE39" s="16"/>
        <tr r="AE39" s="16"/>
      </tp>
      <tp>
        <v>55190</v>
        <stp/>
        <stp>StudyData</stp>
        <stp>TYA?2</stp>
        <stp>VolOI</stp>
        <stp>OIType=Contract</stp>
        <stp>OI</stp>
        <stp>D</stp>
        <stp>-10</stp>
        <stp>all</stp>
        <stp/>
        <stp/>
        <stp/>
        <stp>T</stp>
        <tr r="AE20" s="8"/>
        <tr r="AE20" s="8"/>
        <tr r="AE20" s="16"/>
        <tr r="AE20" s="16"/>
      </tp>
      <tp>
        <v>2869462</v>
        <stp/>
        <stp>StudyData</stp>
        <stp>TYA?1</stp>
        <stp>VolOI</stp>
        <stp>OIType=Contract</stp>
        <stp>OI</stp>
        <stp>D</stp>
        <stp>-10</stp>
        <stp>all</stp>
        <stp/>
        <stp/>
        <stp/>
        <stp>T</stp>
        <tr r="AD20" s="8"/>
        <tr r="AD20" s="8"/>
        <tr r="AD20" s="16"/>
        <tr r="AD20" s="16"/>
      </tp>
      <tp>
        <v>535580</v>
        <stp/>
        <stp>StudyData</stp>
        <stp>USA?1</stp>
        <stp>VolOI</stp>
        <stp>OIType=Contract</stp>
        <stp>OI</stp>
        <stp>D</stp>
        <stp>-10</stp>
        <stp>all</stp>
        <stp/>
        <stp/>
        <stp/>
        <stp>T</stp>
        <tr r="AD39" s="8"/>
        <tr r="AD39" s="8"/>
        <tr r="AD39" s="16"/>
        <tr r="AD39" s="16"/>
      </tp>
      <tp>
        <v>3195</v>
        <stp/>
        <stp>StudyData</stp>
        <stp>USA?2</stp>
        <stp>VolOI</stp>
        <stp>OIType=Contract</stp>
        <stp>OI</stp>
        <stp>D</stp>
        <stp>-11</stp>
        <stp>all</stp>
        <stp/>
        <stp/>
        <stp/>
        <stp>T</stp>
        <tr r="AE40" s="8"/>
        <tr r="AE40" s="8"/>
        <tr r="AE40" s="16"/>
        <tr r="AE40" s="16"/>
      </tp>
      <tp>
        <v>52539</v>
        <stp/>
        <stp>StudyData</stp>
        <stp>TYA?2</stp>
        <stp>VolOI</stp>
        <stp>OIType=Contract</stp>
        <stp>OI</stp>
        <stp>D</stp>
        <stp>-11</stp>
        <stp>all</stp>
        <stp/>
        <stp/>
        <stp/>
        <stp>T</stp>
        <tr r="AE21" s="8"/>
        <tr r="AE21" s="8"/>
        <tr r="AE21" s="16"/>
        <tr r="AE21" s="16"/>
      </tp>
      <tp>
        <v>2910237</v>
        <stp/>
        <stp>StudyData</stp>
        <stp>TYA?1</stp>
        <stp>VolOI</stp>
        <stp>OIType=Contract</stp>
        <stp>OI</stp>
        <stp>D</stp>
        <stp>-11</stp>
        <stp>all</stp>
        <stp/>
        <stp/>
        <stp/>
        <stp>T</stp>
        <tr r="AD21" s="8"/>
        <tr r="AD21" s="8"/>
        <tr r="AD21" s="16"/>
        <tr r="AD21" s="16"/>
      </tp>
      <tp>
        <v>532929</v>
        <stp/>
        <stp>StudyData</stp>
        <stp>USA?1</stp>
        <stp>VolOI</stp>
        <stp>OIType=Contract</stp>
        <stp>OI</stp>
        <stp>D</stp>
        <stp>-11</stp>
        <stp>all</stp>
        <stp/>
        <stp/>
        <stp/>
        <stp>T</stp>
        <tr r="AD40" s="8"/>
        <tr r="AD40" s="8"/>
        <tr r="AD40" s="16"/>
        <tr r="AD40" s="16"/>
      </tp>
      <tp>
        <v>2088</v>
        <stp/>
        <stp>DOMData</stp>
        <stp>TYA?1</stp>
        <stp>Volume</stp>
        <stp>4</stp>
        <stp>T</stp>
        <tr r="J12" s="8"/>
        <tr r="J12" s="16"/>
      </tp>
      <tp>
        <v>472</v>
        <stp/>
        <stp>DOMData</stp>
        <stp>TYA?2</stp>
        <stp>Volume</stp>
        <stp>4</stp>
        <stp>T</stp>
        <tr r="P12" s="16"/>
        <tr r="P12" s="8"/>
      </tp>
      <tp>
        <v>1463</v>
        <stp/>
        <stp>DOMData</stp>
        <stp>TYA?1</stp>
        <stp>Volume</stp>
        <stp>5</stp>
        <stp>T</stp>
        <tr r="J21" s="16"/>
        <tr r="J21" s="8"/>
        <tr r="J11" s="16"/>
        <tr r="J11" s="8"/>
      </tp>
      <tp>
        <v>361</v>
        <stp/>
        <stp>DOMData</stp>
        <stp>TYA?2</stp>
        <stp>Volume</stp>
        <stp>5</stp>
        <stp>T</stp>
        <tr r="P21" s="8"/>
        <tr r="P11" s="8"/>
        <tr r="P11" s="16"/>
        <tr r="P21" s="16"/>
      </tp>
      <tp>
        <v>66</v>
        <stp/>
        <stp>DOMData</stp>
        <stp>USA?1</stp>
        <stp>Volume</stp>
        <stp>1</stp>
        <stp>T</stp>
        <tr r="J34" s="16"/>
        <tr r="J34" s="8"/>
      </tp>
      <tp>
        <v>35</v>
        <stp/>
        <stp>DOMData</stp>
        <stp>USA?2</stp>
        <stp>Volume</stp>
        <stp>1</stp>
        <stp>T</stp>
        <tr r="P34" s="8"/>
        <tr r="P34" s="16"/>
      </tp>
      <tp>
        <v>294</v>
        <stp/>
        <stp>DOMData</stp>
        <stp>USA?1</stp>
        <stp>Volume</stp>
        <stp>2</stp>
        <stp>T</stp>
        <tr r="J33" s="8"/>
        <tr r="J33" s="16"/>
      </tp>
      <tp>
        <v>87</v>
        <stp/>
        <stp>DOMData</stp>
        <stp>USA?2</stp>
        <stp>Volume</stp>
        <stp>2</stp>
        <stp>T</stp>
        <tr r="P33" s="16"/>
        <tr r="P33" s="8"/>
      </tp>
      <tp>
        <v>282</v>
        <stp/>
        <stp>DOMData</stp>
        <stp>USA?1</stp>
        <stp>Volume</stp>
        <stp>3</stp>
        <stp>T</stp>
        <tr r="J32" s="8"/>
        <tr r="J32" s="16"/>
      </tp>
      <tp>
        <v>92</v>
        <stp/>
        <stp>DOMData</stp>
        <stp>USA?2</stp>
        <stp>Volume</stp>
        <stp>3</stp>
        <stp>T</stp>
        <tr r="P32" s="8"/>
        <tr r="P32" s="16"/>
      </tp>
      <tp>
        <v>265</v>
        <stp/>
        <stp>DOMData</stp>
        <stp>USA?1</stp>
        <stp>Volume</stp>
        <stp>4</stp>
        <stp>T</stp>
        <tr r="J31" s="16"/>
        <tr r="J31" s="8"/>
      </tp>
      <tp>
        <v>133</v>
        <stp/>
        <stp>DOMData</stp>
        <stp>USA?2</stp>
        <stp>Volume</stp>
        <stp>4</stp>
        <stp>T</stp>
        <tr r="P31" s="8"/>
        <tr r="P31" s="16"/>
      </tp>
      <tp>
        <v>253</v>
        <stp/>
        <stp>DOMData</stp>
        <stp>USA?1</stp>
        <stp>Volume</stp>
        <stp>5</stp>
        <stp>T</stp>
        <tr r="J30" s="8"/>
        <tr r="J40" s="16"/>
        <tr r="J40" s="8"/>
        <tr r="J30" s="16"/>
      </tp>
      <tp>
        <v>91</v>
        <stp/>
        <stp>DOMData</stp>
        <stp>USA?2</stp>
        <stp>Volume</stp>
        <stp>5</stp>
        <stp>T</stp>
        <tr r="P30" s="8"/>
        <tr r="P30" s="16"/>
        <tr r="P40" s="8"/>
        <tr r="P40" s="16"/>
      </tp>
      <tp t="s">
        <v>30yr US Treasury Bonds (Globex), Jun 16</v>
        <stp/>
        <stp>ContractData</stp>
        <stp>USA?2</stp>
        <stp>LongDescription</stp>
        <tr r="R29" s="8"/>
        <tr r="B29" s="8"/>
        <tr r="B29" s="16"/>
        <tr r="R29" s="16"/>
      </tp>
      <tp t="s">
        <v>10yr US Treasury Notes (Globex), Jun 16</v>
        <stp/>
        <stp>ContractData</stp>
        <stp>TYA?2</stp>
        <stp>LongDescription</stp>
        <tr r="R10" s="8"/>
        <tr r="B10" s="8"/>
        <tr r="B10" s="16"/>
        <tr r="R10" s="16"/>
      </tp>
      <tp t="s">
        <v>10yr US Treasury Notes (Globex), Mar 16</v>
        <stp/>
        <stp>ContractData</stp>
        <stp>TYA?1</stp>
        <stp>LongDescription</stp>
        <tr r="R9" s="8"/>
        <tr r="B9" s="8"/>
        <tr r="R9" s="16"/>
        <tr r="B9" s="16"/>
      </tp>
      <tp t="s">
        <v>30yr US Treasury Bonds (Globex), Mar 16</v>
        <stp/>
        <stp>ContractData</stp>
        <stp>USA?1</stp>
        <stp>LongDescription</stp>
        <tr r="R28" s="8"/>
        <tr r="B28" s="8"/>
        <tr r="R28" s="16"/>
        <tr r="B28" s="16"/>
      </tp>
      <tp>
        <v>2932255</v>
        <stp/>
        <stp>StudyData</stp>
        <stp>TYA?1</stp>
        <stp>VolOI</stp>
        <stp>OIType=Contract</stp>
        <stp>OI</stp>
        <stp>D</stp>
        <stp>-5</stp>
        <stp>all</stp>
        <stp/>
        <stp/>
        <stp/>
        <stp>T</stp>
        <tr r="AD15" s="8"/>
        <tr r="AD15" s="8"/>
        <tr r="AD15" s="16"/>
        <tr r="AD15" s="16"/>
      </tp>
      <tp>
        <v>91545</v>
        <stp/>
        <stp>StudyData</stp>
        <stp>TYA?2</stp>
        <stp>VolOI</stp>
        <stp>OIType=Contract</stp>
        <stp>OI</stp>
        <stp>D</stp>
        <stp>-5</stp>
        <stp>all</stp>
        <stp/>
        <stp/>
        <stp/>
        <stp>T</stp>
        <tr r="AE15" s="8"/>
        <tr r="AE15" s="8"/>
        <tr r="AE15" s="16"/>
        <tr r="AE15" s="16"/>
      </tp>
      <tp>
        <v>2923228</v>
        <stp/>
        <stp>StudyData</stp>
        <stp>TYA?1</stp>
        <stp>VolOI</stp>
        <stp>OIType=Contract</stp>
        <stp>OI</stp>
        <stp>D</stp>
        <stp>-4</stp>
        <stp>all</stp>
        <stp/>
        <stp/>
        <stp/>
        <stp>T</stp>
        <tr r="AD14" s="8"/>
        <tr r="AD14" s="8"/>
        <tr r="AD14" s="16"/>
        <tr r="AD14" s="16"/>
      </tp>
      <tp>
        <v>110882</v>
        <stp/>
        <stp>StudyData</stp>
        <stp>TYA?2</stp>
        <stp>VolOI</stp>
        <stp>OIType=Contract</stp>
        <stp>OI</stp>
        <stp>D</stp>
        <stp>-4</stp>
        <stp>all</stp>
        <stp/>
        <stp/>
        <stp/>
        <stp>T</stp>
        <tr r="AE14" s="8"/>
        <tr r="AE14" s="8"/>
        <tr r="AE14" s="16"/>
        <tr r="AE14" s="16"/>
      </tp>
      <tp>
        <v>2941404</v>
        <stp/>
        <stp>StudyData</stp>
        <stp>TYA?1</stp>
        <stp>VolOI</stp>
        <stp>OIType=Contract</stp>
        <stp>OI</stp>
        <stp>D</stp>
        <stp>-7</stp>
        <stp>all</stp>
        <stp/>
        <stp/>
        <stp/>
        <stp>T</stp>
        <tr r="AD17" s="8"/>
        <tr r="AD17" s="8"/>
        <tr r="AD17" s="16"/>
        <tr r="AD17" s="16"/>
      </tp>
      <tp>
        <v>83638</v>
        <stp/>
        <stp>StudyData</stp>
        <stp>TYA?2</stp>
        <stp>VolOI</stp>
        <stp>OIType=Contract</stp>
        <stp>OI</stp>
        <stp>D</stp>
        <stp>-7</stp>
        <stp>all</stp>
        <stp/>
        <stp/>
        <stp/>
        <stp>T</stp>
        <tr r="AE17" s="8"/>
        <tr r="AE17" s="8"/>
        <tr r="AE17" s="16"/>
        <tr r="AE17" s="16"/>
      </tp>
      <tp>
        <v>2929461</v>
        <stp/>
        <stp>StudyData</stp>
        <stp>TYA?1</stp>
        <stp>VolOI</stp>
        <stp>OIType=Contract</stp>
        <stp>OI</stp>
        <stp>D</stp>
        <stp>-6</stp>
        <stp>all</stp>
        <stp/>
        <stp/>
        <stp/>
        <stp>T</stp>
        <tr r="AD16" s="8"/>
        <tr r="AD16" s="8"/>
        <tr r="AD16" s="16"/>
        <tr r="AD16" s="16"/>
      </tp>
      <tp>
        <v>87974</v>
        <stp/>
        <stp>StudyData</stp>
        <stp>TYA?2</stp>
        <stp>VolOI</stp>
        <stp>OIType=Contract</stp>
        <stp>OI</stp>
        <stp>D</stp>
        <stp>-6</stp>
        <stp>all</stp>
        <stp/>
        <stp/>
        <stp/>
        <stp>T</stp>
        <tr r="AE16" s="8"/>
        <tr r="AE16" s="8"/>
        <tr r="AE16" s="16"/>
        <tr r="AE16" s="16"/>
      </tp>
      <tp t="s">
        <v/>
        <stp/>
        <stp>StudyData</stp>
        <stp>TYA?1</stp>
        <stp>VolOI</stp>
        <stp>OIType=Contract</stp>
        <stp>OI</stp>
        <stp>D</stp>
        <stp>-1</stp>
        <stp>all</stp>
        <stp/>
        <stp/>
        <stp/>
        <stp>T</stp>
        <tr r="AD11" s="8"/>
        <tr r="AD11" s="16"/>
      </tp>
      <tp t="s">
        <v/>
        <stp/>
        <stp>StudyData</stp>
        <stp>TYA?2</stp>
        <stp>VolOI</stp>
        <stp>OIType=Contract</stp>
        <stp>OI</stp>
        <stp>D</stp>
        <stp>-1</stp>
        <stp>all</stp>
        <stp/>
        <stp/>
        <stp/>
        <stp>T</stp>
        <tr r="AE11" s="8"/>
        <tr r="AE11" s="16"/>
      </tp>
      <tp>
        <v>2933408</v>
        <stp/>
        <stp>StudyData</stp>
        <stp>TYA?1</stp>
        <stp>VolOI</stp>
        <stp>OIType=Contract</stp>
        <stp>OI</stp>
        <stp>D</stp>
        <stp>-3</stp>
        <stp>all</stp>
        <stp/>
        <stp/>
        <stp/>
        <stp>T</stp>
        <tr r="AD13" s="8"/>
        <tr r="AD13" s="8"/>
        <tr r="AD13" s="16"/>
        <tr r="AD13" s="16"/>
      </tp>
      <tp>
        <v>124715</v>
        <stp/>
        <stp>StudyData</stp>
        <stp>TYA?2</stp>
        <stp>VolOI</stp>
        <stp>OIType=Contract</stp>
        <stp>OI</stp>
        <stp>D</stp>
        <stp>-3</stp>
        <stp>all</stp>
        <stp/>
        <stp/>
        <stp/>
        <stp>T</stp>
        <tr r="AE13" s="8"/>
        <tr r="AE13" s="8"/>
        <tr r="AE13" s="16"/>
        <tr r="AE13" s="16"/>
      </tp>
      <tp>
        <v>2969999</v>
        <stp/>
        <stp>StudyData</stp>
        <stp>TYA?1</stp>
        <stp>VolOI</stp>
        <stp>OIType=Contract</stp>
        <stp>OI</stp>
        <stp>D</stp>
        <stp>-2</stp>
        <stp>all</stp>
        <stp/>
        <stp/>
        <stp/>
        <stp>T</stp>
        <tr r="AD12" s="8"/>
        <tr r="AD12" s="8"/>
        <tr r="AD12" s="16"/>
        <tr r="AD12" s="16"/>
      </tp>
      <tp>
        <v>163241</v>
        <stp/>
        <stp>StudyData</stp>
        <stp>TYA?2</stp>
        <stp>VolOI</stp>
        <stp>OIType=Contract</stp>
        <stp>OI</stp>
        <stp>D</stp>
        <stp>-2</stp>
        <stp>all</stp>
        <stp/>
        <stp/>
        <stp/>
        <stp>T</stp>
        <tr r="AE12" s="8"/>
        <tr r="AE12" s="8"/>
        <tr r="AE12" s="16"/>
        <tr r="AE12" s="16"/>
      </tp>
      <tp>
        <v>2913247</v>
        <stp/>
        <stp>StudyData</stp>
        <stp>TYA?1</stp>
        <stp>VolOI</stp>
        <stp>OIType=Contract</stp>
        <stp>OI</stp>
        <stp>D</stp>
        <stp>-9</stp>
        <stp>all</stp>
        <stp/>
        <stp/>
        <stp/>
        <stp>T</stp>
        <tr r="AD19" s="8"/>
        <tr r="AD19" s="8"/>
        <tr r="AD19" s="16"/>
        <tr r="AD19" s="16"/>
      </tp>
      <tp>
        <v>71249</v>
        <stp/>
        <stp>StudyData</stp>
        <stp>TYA?2</stp>
        <stp>VolOI</stp>
        <stp>OIType=Contract</stp>
        <stp>OI</stp>
        <stp>D</stp>
        <stp>-9</stp>
        <stp>all</stp>
        <stp/>
        <stp/>
        <stp/>
        <stp>T</stp>
        <tr r="AE19" s="8"/>
        <tr r="AE19" s="8"/>
        <tr r="AE19" s="16"/>
        <tr r="AE19" s="16"/>
      </tp>
      <tp>
        <v>2913524</v>
        <stp/>
        <stp>StudyData</stp>
        <stp>TYA?1</stp>
        <stp>VolOI</stp>
        <stp>OIType=Contract</stp>
        <stp>OI</stp>
        <stp>D</stp>
        <stp>-8</stp>
        <stp>all</stp>
        <stp/>
        <stp/>
        <stp/>
        <stp>T</stp>
        <tr r="AD18" s="8"/>
        <tr r="AD18" s="8"/>
        <tr r="AD18" s="16"/>
        <tr r="AD18" s="16"/>
      </tp>
      <tp>
        <v>78189</v>
        <stp/>
        <stp>StudyData</stp>
        <stp>TYA?2</stp>
        <stp>VolOI</stp>
        <stp>OIType=Contract</stp>
        <stp>OI</stp>
        <stp>D</stp>
        <stp>-8</stp>
        <stp>all</stp>
        <stp/>
        <stp/>
        <stp/>
        <stp>T</stp>
        <tr r="AE18" s="8"/>
        <tr r="AE18" s="8"/>
        <tr r="AE18" s="16"/>
        <tr r="AE18" s="16"/>
      </tp>
      <tp>
        <v>66</v>
        <stp/>
        <stp>ContractData</stp>
        <stp>USA?1</stp>
        <stp>VolumeLAstAsk</stp>
        <stp/>
        <stp>F</stp>
        <tr r="K25" s="8"/>
        <tr r="K25" s="16"/>
      </tp>
      <tp>
        <v>86</v>
        <stp/>
        <stp>ContractData</stp>
        <stp>USA?2</stp>
        <stp>VolumeLastBid</stp>
        <stp/>
        <stp>F</stp>
        <tr r="U25" s="8"/>
        <tr r="U25" s="16"/>
      </tp>
      <tp>
        <v>298</v>
        <stp/>
        <stp>ContractData</stp>
        <stp>TYA?1</stp>
        <stp>VolumeLAstAsk</stp>
        <stp/>
        <stp>F</stp>
        <tr r="K6" s="8"/>
        <tr r="K6" s="16"/>
      </tp>
      <tp>
        <v>151</v>
        <stp/>
        <stp>ContractData</stp>
        <stp>TYA?2</stp>
        <stp>VolumeLastBid</stp>
        <stp/>
        <stp>F</stp>
        <tr r="U6" s="8"/>
        <tr r="U6" s="16"/>
      </tp>
      <tp>
        <v>389</v>
        <stp/>
        <stp>ContractData</stp>
        <stp>TYA?2</stp>
        <stp>VolumeLAstAsk</stp>
        <stp/>
        <stp>F</stp>
        <tr r="X6" s="8"/>
        <tr r="X6" s="16"/>
      </tp>
      <tp>
        <v>1921</v>
        <stp/>
        <stp>ContractData</stp>
        <stp>TYA?1</stp>
        <stp>VolumeLastBid</stp>
        <stp/>
        <stp>F</stp>
        <tr r="H6" s="8"/>
        <tr r="H6" s="16"/>
      </tp>
      <tp>
        <v>35</v>
        <stp/>
        <stp>ContractData</stp>
        <stp>USA?2</stp>
        <stp>VolumeLAstAsk</stp>
        <stp/>
        <stp>F</stp>
        <tr r="X25" s="8"/>
        <tr r="X25" s="16"/>
      </tp>
      <tp>
        <v>167</v>
        <stp/>
        <stp>ContractData</stp>
        <stp>USA?1</stp>
        <stp>VolumeLastBid</stp>
        <stp/>
        <stp>F</stp>
        <tr r="H25" s="8"/>
        <tr r="H25" s="16"/>
      </tp>
      <tp>
        <v>559490</v>
        <stp/>
        <stp>StudyData</stp>
        <stp>USA?1</stp>
        <stp>VolOI</stp>
        <stp>OIType=Contract</stp>
        <stp>OI</stp>
        <stp>D</stp>
        <stp>-5</stp>
        <stp>all</stp>
        <stp/>
        <stp/>
        <stp/>
        <stp>T</stp>
        <tr r="AD34" s="8"/>
        <tr r="AD34" s="8"/>
        <tr r="AD34" s="16"/>
        <tr r="AD34" s="16"/>
      </tp>
      <tp>
        <v>9795</v>
        <stp/>
        <stp>StudyData</stp>
        <stp>USA?2</stp>
        <stp>VolOI</stp>
        <stp>OIType=Contract</stp>
        <stp>OI</stp>
        <stp>D</stp>
        <stp>-5</stp>
        <stp>all</stp>
        <stp/>
        <stp/>
        <stp/>
        <stp>T</stp>
        <tr r="AE34" s="8"/>
        <tr r="AE34" s="8"/>
        <tr r="AE34" s="16"/>
        <tr r="AE34" s="16"/>
      </tp>
      <tp>
        <v>560568</v>
        <stp/>
        <stp>StudyData</stp>
        <stp>USA?1</stp>
        <stp>VolOI</stp>
        <stp>OIType=Contract</stp>
        <stp>OI</stp>
        <stp>D</stp>
        <stp>-4</stp>
        <stp>all</stp>
        <stp/>
        <stp/>
        <stp/>
        <stp>T</stp>
        <tr r="AD33" s="8"/>
        <tr r="AD33" s="8"/>
        <tr r="AD33" s="16"/>
        <tr r="AD33" s="16"/>
      </tp>
      <tp>
        <v>10453</v>
        <stp/>
        <stp>StudyData</stp>
        <stp>USA?2</stp>
        <stp>VolOI</stp>
        <stp>OIType=Contract</stp>
        <stp>OI</stp>
        <stp>D</stp>
        <stp>-4</stp>
        <stp>all</stp>
        <stp/>
        <stp/>
        <stp/>
        <stp>T</stp>
        <tr r="AE33" s="8"/>
        <tr r="AE33" s="8"/>
        <tr r="AE33" s="16"/>
        <tr r="AE33" s="16"/>
      </tp>
      <tp>
        <v>547221</v>
        <stp/>
        <stp>StudyData</stp>
        <stp>USA?1</stp>
        <stp>VolOI</stp>
        <stp>OIType=Contract</stp>
        <stp>OI</stp>
        <stp>D</stp>
        <stp>-7</stp>
        <stp>all</stp>
        <stp/>
        <stp/>
        <stp/>
        <stp>T</stp>
        <tr r="AD36" s="8"/>
        <tr r="AD36" s="8"/>
        <tr r="AD36" s="16"/>
        <tr r="AD36" s="16"/>
      </tp>
      <tp>
        <v>7680</v>
        <stp/>
        <stp>StudyData</stp>
        <stp>USA?2</stp>
        <stp>VolOI</stp>
        <stp>OIType=Contract</stp>
        <stp>OI</stp>
        <stp>D</stp>
        <stp>-7</stp>
        <stp>all</stp>
        <stp/>
        <stp/>
        <stp/>
        <stp>T</stp>
        <tr r="AE36" s="8"/>
        <tr r="AE36" s="8"/>
        <tr r="AE36" s="16"/>
        <tr r="AE36" s="16"/>
      </tp>
      <tp>
        <v>552536</v>
        <stp/>
        <stp>StudyData</stp>
        <stp>USA?1</stp>
        <stp>VolOI</stp>
        <stp>OIType=Contract</stp>
        <stp>OI</stp>
        <stp>D</stp>
        <stp>-6</stp>
        <stp>all</stp>
        <stp/>
        <stp/>
        <stp/>
        <stp>T</stp>
        <tr r="AD35" s="8"/>
        <tr r="AD35" s="8"/>
        <tr r="AD35" s="16"/>
        <tr r="AD35" s="16"/>
      </tp>
      <tp>
        <v>7968</v>
        <stp/>
        <stp>StudyData</stp>
        <stp>USA?2</stp>
        <stp>VolOI</stp>
        <stp>OIType=Contract</stp>
        <stp>OI</stp>
        <stp>D</stp>
        <stp>-6</stp>
        <stp>all</stp>
        <stp/>
        <stp/>
        <stp/>
        <stp>T</stp>
        <tr r="AE35" s="8"/>
        <tr r="AE35" s="8"/>
        <tr r="AE35" s="16"/>
        <tr r="AE35" s="16"/>
      </tp>
      <tp t="s">
        <v/>
        <stp/>
        <stp>StudyData</stp>
        <stp>USA?1</stp>
        <stp>VolOI</stp>
        <stp>OIType=Contract</stp>
        <stp>OI</stp>
        <stp>D</stp>
        <stp>-1</stp>
        <stp>all</stp>
        <stp/>
        <stp/>
        <stp/>
        <stp>T</stp>
        <tr r="AD30" s="8"/>
        <tr r="AD30" s="16"/>
      </tp>
      <tp t="s">
        <v/>
        <stp/>
        <stp>StudyData</stp>
        <stp>USA?2</stp>
        <stp>VolOI</stp>
        <stp>OIType=Contract</stp>
        <stp>OI</stp>
        <stp>D</stp>
        <stp>-1</stp>
        <stp>all</stp>
        <stp/>
        <stp/>
        <stp/>
        <stp>T</stp>
        <tr r="AE30" s="8"/>
        <tr r="AE30" s="16"/>
      </tp>
      <tp>
        <v>558498</v>
        <stp/>
        <stp>StudyData</stp>
        <stp>USA?1</stp>
        <stp>VolOI</stp>
        <stp>OIType=Contract</stp>
        <stp>OI</stp>
        <stp>D</stp>
        <stp>-3</stp>
        <stp>all</stp>
        <stp/>
        <stp/>
        <stp/>
        <stp>T</stp>
        <tr r="AD32" s="8"/>
        <tr r="AD32" s="8"/>
        <tr r="AD32" s="16"/>
        <tr r="AD32" s="16"/>
      </tp>
      <tp>
        <v>10584</v>
        <stp/>
        <stp>StudyData</stp>
        <stp>USA?2</stp>
        <stp>VolOI</stp>
        <stp>OIType=Contract</stp>
        <stp>OI</stp>
        <stp>D</stp>
        <stp>-3</stp>
        <stp>all</stp>
        <stp/>
        <stp/>
        <stp/>
        <stp>T</stp>
        <tr r="AE32" s="8"/>
        <tr r="AE32" s="8"/>
        <tr r="AE32" s="16"/>
        <tr r="AE32" s="16"/>
      </tp>
      <tp>
        <v>558416</v>
        <stp/>
        <stp>StudyData</stp>
        <stp>USA?1</stp>
        <stp>VolOI</stp>
        <stp>OIType=Contract</stp>
        <stp>OI</stp>
        <stp>D</stp>
        <stp>-2</stp>
        <stp>all</stp>
        <stp/>
        <stp/>
        <stp/>
        <stp>T</stp>
        <tr r="AD31" s="8"/>
        <tr r="AD31" s="8"/>
        <tr r="AD31" s="16"/>
        <tr r="AD31" s="16"/>
      </tp>
      <tp>
        <v>11038</v>
        <stp/>
        <stp>StudyData</stp>
        <stp>USA?2</stp>
        <stp>VolOI</stp>
        <stp>OIType=Contract</stp>
        <stp>OI</stp>
        <stp>D</stp>
        <stp>-2</stp>
        <stp>all</stp>
        <stp/>
        <stp/>
        <stp/>
        <stp>T</stp>
        <tr r="AE31" s="8"/>
        <tr r="AE31" s="8"/>
        <tr r="AE31" s="16"/>
        <tr r="AE31" s="16"/>
      </tp>
      <tp>
        <v>545301</v>
        <stp/>
        <stp>StudyData</stp>
        <stp>USA?1</stp>
        <stp>VolOI</stp>
        <stp>OIType=Contract</stp>
        <stp>OI</stp>
        <stp>D</stp>
        <stp>-9</stp>
        <stp>all</stp>
        <stp/>
        <stp/>
        <stp/>
        <stp>T</stp>
        <tr r="AD38" s="8"/>
        <tr r="AD38" s="8"/>
        <tr r="AD38" s="16"/>
        <tr r="AD38" s="16"/>
      </tp>
      <tp>
        <v>5185</v>
        <stp/>
        <stp>StudyData</stp>
        <stp>USA?2</stp>
        <stp>VolOI</stp>
        <stp>OIType=Contract</stp>
        <stp>OI</stp>
        <stp>D</stp>
        <stp>-9</stp>
        <stp>all</stp>
        <stp/>
        <stp/>
        <stp/>
        <stp>T</stp>
        <tr r="AE38" s="8"/>
        <tr r="AE38" s="8"/>
        <tr r="AE38" s="16"/>
        <tr r="AE38" s="16"/>
      </tp>
      <tp>
        <v>542351</v>
        <stp/>
        <stp>StudyData</stp>
        <stp>USA?1</stp>
        <stp>VolOI</stp>
        <stp>OIType=Contract</stp>
        <stp>OI</stp>
        <stp>D</stp>
        <stp>-8</stp>
        <stp>all</stp>
        <stp/>
        <stp/>
        <stp/>
        <stp>T</stp>
        <tr r="AD37" s="8"/>
        <tr r="AD37" s="8"/>
        <tr r="AD37" s="16"/>
        <tr r="AD37" s="16"/>
      </tp>
      <tp>
        <v>6400</v>
        <stp/>
        <stp>StudyData</stp>
        <stp>USA?2</stp>
        <stp>VolOI</stp>
        <stp>OIType=Contract</stp>
        <stp>OI</stp>
        <stp>D</stp>
        <stp>-8</stp>
        <stp>all</stp>
        <stp/>
        <stp/>
        <stp/>
        <stp>T</stp>
        <tr r="AE37" s="8"/>
        <tr r="AE37" s="8"/>
        <tr r="AE37" s="16"/>
        <tr r="AE37" s="16"/>
      </tp>
      <tp>
        <v>6347</v>
        <stp/>
        <stp>StudyData</stp>
        <stp>TYA?2</stp>
        <stp>Vol</stp>
        <stp>VolType=auto,CoCType=Contract</stp>
        <stp>Vol</stp>
        <stp>D</stp>
        <stp>-10</stp>
        <stp>ALL</stp>
        <stp/>
        <stp/>
        <stp>TRUE</stp>
        <stp>T</stp>
        <tr r="AA21" s="8"/>
        <tr r="AA21" s="16"/>
      </tp>
      <tp>
        <v>1710</v>
        <stp/>
        <stp>StudyData</stp>
        <stp>USA?2</stp>
        <stp>Vol</stp>
        <stp>VolType=auto,CoCType=Contract</stp>
        <stp>Vol</stp>
        <stp>D</stp>
        <stp>-10</stp>
        <stp>ALL</stp>
        <stp/>
        <stp/>
        <stp>TRUE</stp>
        <stp>T</stp>
        <tr r="AA40" s="8"/>
        <tr r="AA40" s="16"/>
      </tp>
      <tp>
        <v>219539</v>
        <stp/>
        <stp>StudyData</stp>
        <stp>USA?1</stp>
        <stp>Vol</stp>
        <stp>VolType=auto,CoCType=Contract</stp>
        <stp>Vol</stp>
        <stp>D</stp>
        <stp>-10</stp>
        <stp>ALL</stp>
        <stp/>
        <stp/>
        <stp>TRUE</stp>
        <stp>T</stp>
        <tr r="AB40" s="8"/>
        <tr r="AB40" s="16"/>
      </tp>
      <tp>
        <v>1229545</v>
        <stp/>
        <stp>StudyData</stp>
        <stp>TYA?1</stp>
        <stp>Vol</stp>
        <stp>VolType=auto,CoCType=Contract</stp>
        <stp>Vol</stp>
        <stp>D</stp>
        <stp>-10</stp>
        <stp>ALL</stp>
        <stp/>
        <stp/>
        <stp>TRUE</stp>
        <stp>T</stp>
        <tr r="AB21" s="8"/>
        <tr r="AB21" s="16"/>
      </tp>
      <tp>
        <v>130300</v>
        <stp/>
        <stp>ContractData</stp>
        <stp>TYA?1</stp>
        <stp>LastTradeorSettle</stp>
        <stp/>
        <stp>D</stp>
        <tr r="K16" s="8"/>
        <tr r="K16" s="16"/>
      </tp>
      <tp>
        <v>165220</v>
        <stp/>
        <stp>ContractData</stp>
        <stp>USA?1</stp>
        <stp>LastTradeorSettle</stp>
        <stp/>
        <stp>D</stp>
        <tr r="K35" s="8"/>
        <tr r="K35" s="16"/>
      </tp>
      <tp>
        <v>164100</v>
        <stp/>
        <stp>ContractData</stp>
        <stp>USA?2</stp>
        <stp>LastTradeorSettle</stp>
        <stp/>
        <stp>D</stp>
        <tr r="O35" s="8"/>
        <tr r="O35" s="16"/>
      </tp>
      <tp>
        <v>130180</v>
        <stp/>
        <stp>ContractData</stp>
        <stp>TYA?2</stp>
        <stp>LastTradeorSettle</stp>
        <stp/>
        <stp>D</stp>
        <tr r="O16" s="8"/>
        <tr r="O16" s="16"/>
      </tp>
      <tp>
        <v>42429</v>
        <stp/>
        <stp>ContractData</stp>
        <stp>TYA?1</stp>
        <stp>FirstNoticeDate</stp>
        <stp/>
        <stp>D</stp>
        <tr r="F4" s="8"/>
        <tr r="F4" s="8"/>
        <tr r="F4" s="16"/>
        <tr r="F4" s="16"/>
      </tp>
      <tp>
        <v>42521</v>
        <stp/>
        <stp>ContractData</stp>
        <stp>TYA?2</stp>
        <stp>FirstNoticeDate</stp>
        <stp/>
        <stp>D</stp>
        <tr r="S4" s="8"/>
        <tr r="S4" s="8"/>
        <tr r="S4" s="16"/>
        <tr r="S4" s="16"/>
      </tp>
      <tp>
        <v>42451</v>
        <stp/>
        <stp>ContractData</stp>
        <stp>USA?1</stp>
        <stp>ExpirationDate</stp>
        <stp/>
        <stp>D</stp>
        <tr r="J23" s="8"/>
        <tr r="J23" s="16"/>
      </tp>
      <tp>
        <v>42451</v>
        <stp/>
        <stp>ContractData</stp>
        <stp>TYA?1</stp>
        <stp>ExpirationDate</stp>
        <stp/>
        <stp>D</stp>
        <tr r="J4" s="8"/>
        <tr r="J4" s="16"/>
      </tp>
      <tp>
        <v>42542</v>
        <stp/>
        <stp>ContractData</stp>
        <stp>TYA?2</stp>
        <stp>ExpirationDate</stp>
        <stp/>
        <stp>D</stp>
        <tr r="W4" s="8"/>
        <tr r="W4" s="16"/>
      </tp>
      <tp>
        <v>532</v>
        <stp/>
        <stp>DOMData</stp>
        <stp>TYA?2</stp>
        <stp>Volume</stp>
        <stp>-4</stp>
        <stp>T</stp>
        <tr r="P20" s="8"/>
        <tr r="P20" s="16"/>
      </tp>
      <tp>
        <v>133</v>
        <stp/>
        <stp>DOMData</stp>
        <stp>USA?2</stp>
        <stp>Volume</stp>
        <stp>-4</stp>
        <stp>T</stp>
        <tr r="P39" s="8"/>
        <tr r="P39" s="16"/>
      </tp>
      <tp>
        <v>234</v>
        <stp/>
        <stp>DOMData</stp>
        <stp>USA?1</stp>
        <stp>Volume</stp>
        <stp>-4</stp>
        <stp>T</stp>
        <tr r="J39" s="16"/>
        <tr r="J39" s="8"/>
      </tp>
      <tp>
        <v>1725</v>
        <stp/>
        <stp>DOMData</stp>
        <stp>TYA?1</stp>
        <stp>Volume</stp>
        <stp>-4</stp>
        <stp>T</stp>
        <tr r="J20" s="16"/>
        <tr r="J20" s="8"/>
      </tp>
      <tp>
        <v>42542</v>
        <stp/>
        <stp>ContractData</stp>
        <stp>USA?2</stp>
        <stp>ExpirationDate</stp>
        <stp/>
        <stp>D</stp>
        <tr r="W23" s="8"/>
        <tr r="W23" s="16"/>
      </tp>
      <tp>
        <v>421</v>
        <stp/>
        <stp>DOMData</stp>
        <stp>TYA?2</stp>
        <stp>Volume</stp>
        <stp>-3</stp>
        <stp>T</stp>
        <tr r="P19" s="16"/>
        <tr r="P19" s="8"/>
      </tp>
      <tp>
        <v>86</v>
        <stp/>
        <stp>DOMData</stp>
        <stp>USA?2</stp>
        <stp>Volume</stp>
        <stp>-3</stp>
        <stp>T</stp>
        <tr r="P38" s="8"/>
        <tr r="P38" s="16"/>
      </tp>
      <tp>
        <v>283</v>
        <stp/>
        <stp>DOMData</stp>
        <stp>USA?1</stp>
        <stp>Volume</stp>
        <stp>-3</stp>
        <stp>T</stp>
        <tr r="J38" s="8"/>
        <tr r="J38" s="16"/>
      </tp>
      <tp>
        <v>1754</v>
        <stp/>
        <stp>DOMData</stp>
        <stp>TYA?1</stp>
        <stp>Volume</stp>
        <stp>-3</stp>
        <stp>T</stp>
        <tr r="J19" s="16"/>
        <tr r="J19" s="8"/>
      </tp>
      <tp>
        <v>421</v>
        <stp/>
        <stp>DOMData</stp>
        <stp>TYA?2</stp>
        <stp>Volume</stp>
        <stp>-2</stp>
        <stp>T</stp>
        <tr r="P18" s="8"/>
        <tr r="P18" s="16"/>
      </tp>
      <tp>
        <v>87</v>
        <stp/>
        <stp>DOMData</stp>
        <stp>USA?2</stp>
        <stp>Volume</stp>
        <stp>-2</stp>
        <stp>T</stp>
        <tr r="P37" s="8"/>
        <tr r="P37" s="16"/>
      </tp>
      <tp>
        <v>416</v>
        <stp/>
        <stp>DOMData</stp>
        <stp>USA?1</stp>
        <stp>Volume</stp>
        <stp>-2</stp>
        <stp>T</stp>
        <tr r="J37" s="16"/>
        <tr r="J37" s="8"/>
      </tp>
      <tp>
        <v>1701</v>
        <stp/>
        <stp>DOMData</stp>
        <stp>TYA?1</stp>
        <stp>Volume</stp>
        <stp>-2</stp>
        <stp>T</stp>
        <tr r="J18" s="16"/>
        <tr r="J18" s="8"/>
      </tp>
      <tp t="s">
        <v>-240</v>
        <stp/>
        <stp>ContractData</stp>
        <stp>USA?2</stp>
        <stp>NetChange</stp>
        <stp/>
        <stp>F</stp>
        <tr r="Q25" s="8"/>
        <tr r="Q25" s="16"/>
      </tp>
      <tp t="s">
        <v>-40</v>
        <stp/>
        <stp>ContractData</stp>
        <stp>TYA?2</stp>
        <stp>NetChange</stp>
        <stp/>
        <stp>F</stp>
        <tr r="Q6" s="8"/>
        <tr r="Q6" s="16"/>
      </tp>
      <tp t="s">
        <v>-3+</v>
        <stp/>
        <stp>ContractData</stp>
        <stp>TYA?1</stp>
        <stp>NetChange</stp>
        <stp/>
        <stp>F</stp>
        <tr r="D6" s="8"/>
        <tr r="D6" s="16"/>
      </tp>
      <tp t="s">
        <v>-260</v>
        <stp/>
        <stp>ContractData</stp>
        <stp>USA?1</stp>
        <stp>NetChange</stp>
        <stp/>
        <stp>F</stp>
        <tr r="D25" s="8"/>
        <tr r="D25" s="16"/>
      </tp>
      <tp>
        <v>151</v>
        <stp/>
        <stp>DOMData</stp>
        <stp>TYA?2</stp>
        <stp>Volume</stp>
        <stp>-1</stp>
        <stp>T</stp>
        <tr r="P17" s="8"/>
        <tr r="P17" s="16"/>
      </tp>
      <tp>
        <v>86</v>
        <stp/>
        <stp>DOMData</stp>
        <stp>USA?2</stp>
        <stp>Volume</stp>
        <stp>-1</stp>
        <stp>T</stp>
        <tr r="P36" s="8"/>
        <tr r="P36" s="16"/>
      </tp>
      <tp>
        <v>167</v>
        <stp/>
        <stp>DOMData</stp>
        <stp>USA?1</stp>
        <stp>Volume</stp>
        <stp>-1</stp>
        <stp>T</stp>
        <tr r="J36" s="16"/>
        <tr r="J36" s="8"/>
      </tp>
      <tp>
        <v>1921</v>
        <stp/>
        <stp>DOMData</stp>
        <stp>TYA?1</stp>
        <stp>Volume</stp>
        <stp>-1</stp>
        <stp>T</stp>
        <tr r="J17" s="8"/>
        <tr r="J17" s="16"/>
      </tp>
      <tp>
        <v>42429</v>
        <stp/>
        <stp>ContractData</stp>
        <stp>USA?1</stp>
        <stp>FirstNoticeDate</stp>
        <stp/>
        <stp>D</stp>
        <tr r="F23" s="8"/>
        <tr r="F23" s="8"/>
        <tr r="F23" s="16"/>
        <tr r="F23" s="16"/>
      </tp>
      <tp>
        <v>42521</v>
        <stp/>
        <stp>ContractData</stp>
        <stp>USA?2</stp>
        <stp>FirstNoticeDate</stp>
        <stp/>
        <stp>D</stp>
        <tr r="S23" s="8"/>
        <tr r="S23" s="8"/>
        <tr r="S23" s="16"/>
        <tr r="S23" s="16"/>
      </tp>
      <tp>
        <v>42416.38962962963</v>
        <stp/>
        <stp>SystemInfo</stp>
        <stp>Linetime</stp>
        <tr r="S41" s="8"/>
        <tr r="O41" s="8"/>
        <tr r="V41" s="8"/>
        <tr r="J41" s="8"/>
        <tr r="V41" s="16"/>
        <tr r="O41" s="16"/>
        <tr r="J41" s="16"/>
        <tr r="S41" s="16"/>
      </tp>
      <tp t="s">
        <v>164120û</v>
        <stp/>
        <stp>ContractData</stp>
        <stp>USA?2</stp>
        <stp>LastPrice</stp>
        <stp/>
        <stp>F</stp>
        <tr r="P25" s="8"/>
        <tr r="P25" s="16"/>
      </tp>
      <tp t="s">
        <v>130180ú</v>
        <stp/>
        <stp>ContractData</stp>
        <stp>TYA?2</stp>
        <stp>LastPrice</stp>
        <stp/>
        <stp>F</stp>
        <tr r="P6" s="8"/>
        <tr r="P6" s="16"/>
      </tp>
      <tp t="s">
        <v>13030+û</v>
        <stp/>
        <stp>ContractData</stp>
        <stp>TYA?1</stp>
        <stp>LastPrice</stp>
        <stp/>
        <stp>F</stp>
        <tr r="C6" s="8"/>
        <tr r="C6" s="16"/>
      </tp>
      <tp t="s">
        <v>165210ú</v>
        <stp/>
        <stp>ContractData</stp>
        <stp>USA?1</stp>
        <stp>LastPrice</stp>
        <stp/>
        <stp>F</stp>
        <tr r="C25" s="8"/>
        <tr r="C25" s="16"/>
      </tp>
      <tp>
        <v>17</v>
        <stp/>
        <stp>ContractData</stp>
        <stp>USA?2</stp>
        <stp>MT_LastTradeOrSettlementVolume</stp>
        <tr r="M35" s="8"/>
        <tr r="M35" s="16"/>
      </tp>
      <tp>
        <v>1</v>
        <stp/>
        <stp>ContractData</stp>
        <stp>USA?1</stp>
        <stp>MT_LastTradeOrSettlementVolume</stp>
        <tr r="M35" s="8"/>
        <tr r="M35" s="16"/>
      </tp>
      <tp t="s">
        <v>USAH6</v>
        <stp/>
        <stp>ContractData</stp>
        <stp>USA?1</stp>
        <stp>Symbol</stp>
        <tr r="I28" s="8"/>
        <tr r="I28" s="16"/>
      </tp>
      <tp t="s">
        <v>USAM6</v>
        <stp/>
        <stp>ContractData</stp>
        <stp>USA?2</stp>
        <stp>Symbol</stp>
        <tr r="O28" s="8"/>
        <tr r="O28" s="16"/>
      </tp>
      <tp>
        <v>1</v>
        <stp/>
        <stp>ContractData</stp>
        <stp>TYA?2</stp>
        <stp>MT_LastTradeOrSettlementVolume</stp>
        <tr r="M16" s="8"/>
        <tr r="M16" s="16"/>
      </tp>
      <tp>
        <v>2</v>
        <stp/>
        <stp>ContractData</stp>
        <stp>TYA?1</stp>
        <stp>MT_LastTradeOrSettlementVolume</stp>
        <tr r="M16" s="8"/>
        <tr r="M16" s="16"/>
      </tp>
      <tp t="s">
        <v>TYAH6</v>
        <stp/>
        <stp>ContractData</stp>
        <stp>TYA?1</stp>
        <stp>Symbol</stp>
        <tr r="I9" s="8"/>
        <tr r="I9" s="16"/>
      </tp>
      <tp t="s">
        <v>TYAM6</v>
        <stp/>
        <stp>ContractData</stp>
        <stp>TYA?2</stp>
        <stp>Symbol</stp>
        <tr r="O9" s="8"/>
        <tr r="O9" s="16"/>
      </tp>
      <tp>
        <v>131000</v>
        <stp/>
        <stp>DOMData</stp>
        <stp>TYA?1</stp>
        <stp>Price</stp>
        <stp>4</stp>
        <tr r="K12" s="8"/>
        <tr r="K12" s="16"/>
      </tp>
      <tp>
        <v>165260</v>
        <stp/>
        <stp>DOMData</stp>
        <stp>USA?1</stp>
        <stp>Price</stp>
        <stp>5</stp>
        <tr r="K30" s="16"/>
        <tr r="K30" s="8"/>
      </tp>
      <tp>
        <v>131005</v>
        <stp/>
        <stp>DOMData</stp>
        <stp>TYA?1</stp>
        <stp>Price</stp>
        <stp>5</stp>
        <tr r="K11" s="8"/>
        <tr r="K11" s="16"/>
      </tp>
      <tp>
        <v>165250</v>
        <stp/>
        <stp>DOMData</stp>
        <stp>USA?1</stp>
        <stp>Price</stp>
        <stp>4</stp>
        <tr r="K31" s="16"/>
        <tr r="K31" s="8"/>
      </tp>
      <tp>
        <v>130210</v>
        <stp/>
        <stp>DOMData</stp>
        <stp>TYA?2</stp>
        <stp>Price</stp>
        <stp>5</stp>
        <tr r="O11" s="8"/>
        <tr r="O11" s="16"/>
      </tp>
      <tp>
        <v>164150</v>
        <stp/>
        <stp>DOMData</stp>
        <stp>USA?2</stp>
        <stp>Price</stp>
        <stp>4</stp>
        <tr r="O31" s="8"/>
        <tr r="O31" s="16"/>
      </tp>
      <tp>
        <v>130205</v>
        <stp/>
        <stp>DOMData</stp>
        <stp>TYA?2</stp>
        <stp>Price</stp>
        <stp>4</stp>
        <tr r="O12" s="8"/>
        <tr r="O12" s="16"/>
      </tp>
      <tp>
        <v>164160</v>
        <stp/>
        <stp>DOMData</stp>
        <stp>USA?2</stp>
        <stp>Price</stp>
        <stp>5</stp>
        <tr r="O30" s="8"/>
        <tr r="O30" s="16"/>
      </tp>
      <tp>
        <v>130200</v>
        <stp/>
        <stp>DOMData</stp>
        <stp>TYA?2</stp>
        <stp>Price</stp>
        <stp>3</stp>
        <tr r="O13" s="8"/>
        <tr r="O13" s="16"/>
      </tp>
      <tp>
        <v>165220</v>
        <stp/>
        <stp>DOMData</stp>
        <stp>USA?1</stp>
        <stp>Price</stp>
        <stp>1</stp>
        <tr r="K34" s="8"/>
        <tr r="K34" s="16"/>
      </tp>
      <tp>
        <v>164130</v>
        <stp/>
        <stp>DOMData</stp>
        <stp>USA?2</stp>
        <stp>Price</stp>
        <stp>2</stp>
        <tr r="O33" s="8"/>
        <tr r="O33" s="16"/>
      </tp>
      <tp>
        <v>130305</v>
        <stp/>
        <stp>DOMData</stp>
        <stp>TYA?1</stp>
        <stp>Price</stp>
        <stp>1</stp>
        <tr r="K15" s="8"/>
        <tr r="K15" s="16"/>
      </tp>
      <tp>
        <v>130195</v>
        <stp/>
        <stp>DOMData</stp>
        <stp>TYA?2</stp>
        <stp>Price</stp>
        <stp>2</stp>
        <tr r="O14" s="8"/>
        <tr r="O14" s="16"/>
      </tp>
      <tp>
        <v>164140</v>
        <stp/>
        <stp>DOMData</stp>
        <stp>USA?2</stp>
        <stp>Price</stp>
        <stp>3</stp>
        <tr r="O32" s="16"/>
        <tr r="O32" s="8"/>
      </tp>
      <tp>
        <v>130310</v>
        <stp/>
        <stp>DOMData</stp>
        <stp>TYA?1</stp>
        <stp>Price</stp>
        <stp>2</stp>
        <tr r="K14" s="8"/>
        <tr r="K14" s="16"/>
      </tp>
      <tp>
        <v>130190</v>
        <stp/>
        <stp>DOMData</stp>
        <stp>TYA?2</stp>
        <stp>Price</stp>
        <stp>1</stp>
        <tr r="O15" s="8"/>
        <tr r="O15" s="16"/>
      </tp>
      <tp>
        <v>165240</v>
        <stp/>
        <stp>DOMData</stp>
        <stp>USA?1</stp>
        <stp>Price</stp>
        <stp>3</stp>
        <tr r="K32" s="8"/>
        <tr r="K32" s="16"/>
      </tp>
      <tp>
        <v>130315</v>
        <stp/>
        <stp>DOMData</stp>
        <stp>TYA?1</stp>
        <stp>Price</stp>
        <stp>3</stp>
        <tr r="K13" s="8"/>
        <tr r="K13" s="16"/>
      </tp>
      <tp>
        <v>165230</v>
        <stp/>
        <stp>DOMData</stp>
        <stp>USA?1</stp>
        <stp>Price</stp>
        <stp>2</stp>
        <tr r="K33" s="16"/>
        <tr r="K33" s="8"/>
      </tp>
      <tp>
        <v>164120</v>
        <stp/>
        <stp>DOMData</stp>
        <stp>USA?2</stp>
        <stp>Price</stp>
        <stp>1</stp>
        <tr r="O34" s="8"/>
        <tr r="O34" s="16"/>
      </tp>
      <tp t="s">
        <v>164270</v>
        <stp/>
        <stp>ContractData</stp>
        <stp>USA?2</stp>
        <stp>Open</stp>
        <stp/>
        <stp>F</stp>
        <tr r="R25" s="8"/>
        <tr r="R25" s="16"/>
      </tp>
      <tp t="s">
        <v>13020+</v>
        <stp/>
        <stp>ContractData</stp>
        <stp>TYA?2</stp>
        <stp>Open</stp>
        <stp/>
        <stp>F</stp>
        <tr r="R6" s="8"/>
        <tr r="R6" s="16"/>
      </tp>
      <tp t="s">
        <v>13031+</v>
        <stp/>
        <stp>ContractData</stp>
        <stp>TYA?1</stp>
        <stp>Open</stp>
        <stp/>
        <stp>F</stp>
        <tr r="E6" s="8"/>
        <tr r="E6" s="16"/>
      </tp>
      <tp t="s">
        <v>166100</v>
        <stp/>
        <stp>ContractData</stp>
        <stp>USA?1</stp>
        <stp>Open</stp>
        <stp/>
        <stp>F</stp>
        <tr r="E25" s="8"/>
        <tr r="E25" s="16"/>
      </tp>
      <tp t="s">
        <v>131050</v>
        <stp/>
        <stp>ContractData</stp>
        <stp>TYA?1</stp>
        <stp>High</stp>
        <stp/>
        <stp>F</stp>
        <tr r="F6" s="8"/>
        <tr r="F6" s="16"/>
      </tp>
      <tp t="s">
        <v>166160</v>
        <stp/>
        <stp>ContractData</stp>
        <stp>USA?1</stp>
        <stp>High</stp>
        <stp/>
        <stp>F</stp>
        <tr r="F25" s="8"/>
        <tr r="F25" s="16"/>
      </tp>
      <tp t="s">
        <v>165020</v>
        <stp/>
        <stp>ContractData</stp>
        <stp>USA?2</stp>
        <stp>High</stp>
        <stp/>
        <stp>F</stp>
        <tr r="S25" s="8"/>
        <tr r="S25" s="16"/>
      </tp>
      <tp t="s">
        <v>130250</v>
        <stp/>
        <stp>ContractData</stp>
        <stp>TYA?2</stp>
        <stp>High</stp>
        <stp/>
        <stp>F</stp>
        <tr r="S6" s="8"/>
        <tr r="S6" s="16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Daily Traded Volume</a:t>
            </a:r>
          </a:p>
        </c:rich>
      </c:tx>
      <c:layout>
        <c:manualLayout>
          <c:xMode val="edge"/>
          <c:yMode val="edge"/>
          <c:x val="0.29758100237470314"/>
          <c:y val="3.0075187969924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555783787896069E-2"/>
          <c:y val="0.16545644123251718"/>
          <c:w val="0.82758715160604923"/>
          <c:h val="0.7604737424350881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5">
                    <a:lumMod val="89000"/>
                  </a:schemeClr>
                </a:gs>
                <a:gs pos="23000">
                  <a:schemeClr val="accent5">
                    <a:lumMod val="89000"/>
                  </a:schemeClr>
                </a:gs>
                <a:gs pos="69000">
                  <a:schemeClr val="accent5">
                    <a:lumMod val="75000"/>
                  </a:schemeClr>
                </a:gs>
                <a:gs pos="97000">
                  <a:schemeClr val="accent5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>
              <a:noFill/>
            </a:ln>
            <a:effectLst/>
          </c:spPr>
          <c:invertIfNegative val="0"/>
          <c:cat>
            <c:strRef>
              <c:f>'Volume &amp; OI Charts'!$AC$11:$AC$21</c:f>
              <c:strCache>
                <c:ptCount val="11"/>
                <c:pt idx="0">
                  <c:v>Today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strCache>
            </c:strRef>
          </c:cat>
          <c:val>
            <c:numRef>
              <c:f>'Volume &amp; OI Charts'!$AA$11:$AA$21</c:f>
              <c:numCache>
                <c:formatCode>General</c:formatCode>
                <c:ptCount val="11"/>
                <c:pt idx="0">
                  <c:v>26247</c:v>
                </c:pt>
                <c:pt idx="1">
                  <c:v>38481</c:v>
                </c:pt>
                <c:pt idx="2">
                  <c:v>48375</c:v>
                </c:pt>
                <c:pt idx="3">
                  <c:v>41849</c:v>
                </c:pt>
                <c:pt idx="4">
                  <c:v>43446</c:v>
                </c:pt>
                <c:pt idx="5">
                  <c:v>13968</c:v>
                </c:pt>
                <c:pt idx="6">
                  <c:v>11200</c:v>
                </c:pt>
                <c:pt idx="7">
                  <c:v>18087</c:v>
                </c:pt>
                <c:pt idx="8">
                  <c:v>19958</c:v>
                </c:pt>
                <c:pt idx="9">
                  <c:v>23627</c:v>
                </c:pt>
                <c:pt idx="10">
                  <c:v>6347</c:v>
                </c:pt>
              </c:numCache>
            </c:numRef>
          </c:val>
        </c:ser>
        <c:ser>
          <c:idx val="1"/>
          <c:order val="1"/>
          <c:spPr>
            <a:gradFill flip="none" rotWithShape="1">
              <a:gsLst>
                <a:gs pos="0">
                  <a:schemeClr val="accent1">
                    <a:lumMod val="0"/>
                    <a:lumOff val="100000"/>
                  </a:schemeClr>
                </a:gs>
                <a:gs pos="35000">
                  <a:schemeClr val="accent1">
                    <a:lumMod val="0"/>
                    <a:lumOff val="100000"/>
                  </a:schemeClr>
                </a:gs>
                <a:gs pos="100000">
                  <a:schemeClr val="accent1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/>
          </c:spPr>
          <c:invertIfNegative val="0"/>
          <c:cat>
            <c:strRef>
              <c:f>'Volume &amp; OI Charts'!$AC$11:$AC$21</c:f>
              <c:strCache>
                <c:ptCount val="11"/>
                <c:pt idx="0">
                  <c:v>Today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strCache>
            </c:strRef>
          </c:cat>
          <c:val>
            <c:numRef>
              <c:f>'Volume &amp; OI Charts'!$AB$11:$AB$21</c:f>
              <c:numCache>
                <c:formatCode>General</c:formatCode>
                <c:ptCount val="11"/>
                <c:pt idx="0">
                  <c:v>1103532</c:v>
                </c:pt>
                <c:pt idx="1">
                  <c:v>1727313</c:v>
                </c:pt>
                <c:pt idx="2">
                  <c:v>2468876</c:v>
                </c:pt>
                <c:pt idx="3">
                  <c:v>1781823</c:v>
                </c:pt>
                <c:pt idx="4">
                  <c:v>1993045</c:v>
                </c:pt>
                <c:pt idx="5">
                  <c:v>1675081</c:v>
                </c:pt>
                <c:pt idx="6">
                  <c:v>1837286</c:v>
                </c:pt>
                <c:pt idx="7">
                  <c:v>1708898</c:v>
                </c:pt>
                <c:pt idx="8">
                  <c:v>1998839</c:v>
                </c:pt>
                <c:pt idx="9">
                  <c:v>1420462</c:v>
                </c:pt>
                <c:pt idx="10">
                  <c:v>1229545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96972544"/>
        <c:axId val="796973664"/>
      </c:barChart>
      <c:catAx>
        <c:axId val="7969725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96973664"/>
        <c:crosses val="autoZero"/>
        <c:auto val="1"/>
        <c:lblAlgn val="ctr"/>
        <c:lblOffset val="100"/>
        <c:noMultiLvlLbl val="0"/>
      </c:catAx>
      <c:valAx>
        <c:axId val="79697366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accent1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solidFill>
            <a:schemeClr val="tx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9697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Daily Contract Open Interest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 cap="rnd">
                <a:solidFill>
                  <a:srgbClr val="00B0F0"/>
                </a:solidFill>
              </a:ln>
              <a:effectLst/>
            </c:spPr>
          </c:marker>
          <c:cat>
            <c:strRef>
              <c:f>'Volume &amp; OI Charts'!$AF$11:$AF$21</c:f>
              <c:strCache>
                <c:ptCount val="11"/>
                <c:pt idx="0">
                  <c:v>Ystdy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  <c:pt idx="10">
                  <c:v>-11</c:v>
                </c:pt>
              </c:strCache>
            </c:strRef>
          </c:cat>
          <c:val>
            <c:numRef>
              <c:f>'Volume &amp; OI Charts'!$AD$11:$AD$21</c:f>
              <c:numCache>
                <c:formatCode>General</c:formatCode>
                <c:ptCount val="11"/>
                <c:pt idx="0">
                  <c:v>#N/A</c:v>
                </c:pt>
                <c:pt idx="1">
                  <c:v>2969999</c:v>
                </c:pt>
                <c:pt idx="2">
                  <c:v>2933408</c:v>
                </c:pt>
                <c:pt idx="3">
                  <c:v>2923228</c:v>
                </c:pt>
                <c:pt idx="4">
                  <c:v>2932255</c:v>
                </c:pt>
                <c:pt idx="5">
                  <c:v>2929461</c:v>
                </c:pt>
                <c:pt idx="6">
                  <c:v>2941404</c:v>
                </c:pt>
                <c:pt idx="7">
                  <c:v>2913524</c:v>
                </c:pt>
                <c:pt idx="8">
                  <c:v>2913247</c:v>
                </c:pt>
                <c:pt idx="9">
                  <c:v>2869462</c:v>
                </c:pt>
                <c:pt idx="10">
                  <c:v>2910237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7"/>
            <c:spPr>
              <a:gradFill flip="none" rotWithShape="1">
                <a:gsLst>
                  <a:gs pos="0">
                    <a:schemeClr val="accent1">
                      <a:lumMod val="40000"/>
                      <a:lumOff val="60000"/>
                    </a:schemeClr>
                  </a:gs>
                  <a:gs pos="46000">
                    <a:schemeClr val="accent1">
                      <a:lumMod val="95000"/>
                      <a:lumOff val="5000"/>
                    </a:schemeClr>
                  </a:gs>
                  <a:gs pos="100000">
                    <a:schemeClr val="accent1">
                      <a:lumMod val="60000"/>
                    </a:schemeClr>
                  </a:gs>
                </a:gsLst>
                <a:path path="circle">
                  <a:fillToRect l="50000" t="130000" r="50000" b="-30000"/>
                </a:path>
                <a:tileRect/>
              </a:gra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3"/>
            <c:marker>
              <c:symbol val="square"/>
              <c:size val="7"/>
              <c:spPr>
                <a:gradFill flip="none" rotWithShape="1">
                  <a:gsLst>
                    <a:gs pos="0">
                      <a:schemeClr val="accent1">
                        <a:lumMod val="67000"/>
                      </a:schemeClr>
                    </a:gs>
                    <a:gs pos="48000">
                      <a:schemeClr val="accent1">
                        <a:lumMod val="97000"/>
                        <a:lumOff val="3000"/>
                      </a:schemeClr>
                    </a:gs>
                    <a:gs pos="100000">
                      <a:schemeClr val="accent1">
                        <a:lumMod val="60000"/>
                        <a:lumOff val="40000"/>
                      </a:schemeClr>
                    </a:gs>
                  </a:gsLst>
                  <a:lin ang="16200000" scaled="1"/>
                  <a:tileRect/>
                </a:gra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</c:dPt>
          <c:cat>
            <c:strRef>
              <c:f>'Volume &amp; OI Charts'!$AF$11:$AF$21</c:f>
              <c:strCache>
                <c:ptCount val="11"/>
                <c:pt idx="0">
                  <c:v>Ystdy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  <c:pt idx="10">
                  <c:v>-11</c:v>
                </c:pt>
              </c:strCache>
            </c:strRef>
          </c:cat>
          <c:val>
            <c:numRef>
              <c:f>'Volume &amp; OI Charts'!$AE$11:$AE$21</c:f>
              <c:numCache>
                <c:formatCode>General</c:formatCode>
                <c:ptCount val="11"/>
                <c:pt idx="0">
                  <c:v>#N/A</c:v>
                </c:pt>
                <c:pt idx="1">
                  <c:v>163241</c:v>
                </c:pt>
                <c:pt idx="2">
                  <c:v>124715</c:v>
                </c:pt>
                <c:pt idx="3">
                  <c:v>110882</c:v>
                </c:pt>
                <c:pt idx="4">
                  <c:v>91545</c:v>
                </c:pt>
                <c:pt idx="5">
                  <c:v>87974</c:v>
                </c:pt>
                <c:pt idx="6">
                  <c:v>83638</c:v>
                </c:pt>
                <c:pt idx="7">
                  <c:v>78189</c:v>
                </c:pt>
                <c:pt idx="8">
                  <c:v>71249</c:v>
                </c:pt>
                <c:pt idx="9">
                  <c:v>55190</c:v>
                </c:pt>
                <c:pt idx="10">
                  <c:v>52539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71680"/>
        <c:axId val="833448928"/>
      </c:lineChart>
      <c:catAx>
        <c:axId val="7810716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33448928"/>
        <c:crosses val="autoZero"/>
        <c:auto val="1"/>
        <c:lblAlgn val="ctr"/>
        <c:lblOffset val="100"/>
        <c:noMultiLvlLbl val="0"/>
      </c:catAx>
      <c:valAx>
        <c:axId val="83344892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accent1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81071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Daily Traded Volume</a:t>
            </a:r>
          </a:p>
        </c:rich>
      </c:tx>
      <c:layout>
        <c:manualLayout>
          <c:xMode val="edge"/>
          <c:yMode val="edge"/>
          <c:x val="0.29758100237470314"/>
          <c:y val="3.0075187969924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7062967129108858E-2"/>
          <c:y val="0.15994792317626963"/>
          <c:w val="0.82758715160604923"/>
          <c:h val="0.7340186643336250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89000"/>
                  </a:schemeClr>
                </a:gs>
                <a:gs pos="23000">
                  <a:schemeClr val="accent1">
                    <a:lumMod val="89000"/>
                  </a:schemeClr>
                </a:gs>
                <a:gs pos="69000">
                  <a:schemeClr val="accent1">
                    <a:lumMod val="75000"/>
                  </a:schemeClr>
                </a:gs>
                <a:gs pos="97000">
                  <a:schemeClr val="accent1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>
              <a:noFill/>
            </a:ln>
            <a:effectLst/>
          </c:spPr>
          <c:invertIfNegative val="0"/>
          <c:cat>
            <c:strRef>
              <c:f>'Volume &amp; OI Charts'!$AC$30:$AC$40</c:f>
              <c:strCache>
                <c:ptCount val="11"/>
                <c:pt idx="0">
                  <c:v>Today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strCache>
            </c:strRef>
          </c:cat>
          <c:val>
            <c:numRef>
              <c:f>'Volume &amp; OI Charts'!$AA$30:$AA$40</c:f>
              <c:numCache>
                <c:formatCode>General</c:formatCode>
                <c:ptCount val="11"/>
                <c:pt idx="0">
                  <c:v>1366</c:v>
                </c:pt>
                <c:pt idx="1">
                  <c:v>4543</c:v>
                </c:pt>
                <c:pt idx="2">
                  <c:v>4370</c:v>
                </c:pt>
                <c:pt idx="3">
                  <c:v>4768</c:v>
                </c:pt>
                <c:pt idx="4">
                  <c:v>2867</c:v>
                </c:pt>
                <c:pt idx="5">
                  <c:v>3476</c:v>
                </c:pt>
                <c:pt idx="6">
                  <c:v>1346</c:v>
                </c:pt>
                <c:pt idx="7">
                  <c:v>1992</c:v>
                </c:pt>
                <c:pt idx="8">
                  <c:v>3604</c:v>
                </c:pt>
                <c:pt idx="9">
                  <c:v>1506</c:v>
                </c:pt>
                <c:pt idx="10">
                  <c:v>1710</c:v>
                </c:pt>
              </c:numCache>
            </c:numRef>
          </c:val>
        </c:ser>
        <c:ser>
          <c:idx val="1"/>
          <c:order val="1"/>
          <c:spPr>
            <a:gradFill flip="none" rotWithShape="1">
              <a:gsLst>
                <a:gs pos="0">
                  <a:schemeClr val="accent1">
                    <a:lumMod val="0"/>
                    <a:lumOff val="100000"/>
                  </a:schemeClr>
                </a:gs>
                <a:gs pos="35000">
                  <a:schemeClr val="accent1">
                    <a:lumMod val="0"/>
                    <a:lumOff val="100000"/>
                  </a:schemeClr>
                </a:gs>
                <a:gs pos="100000">
                  <a:schemeClr val="accent1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/>
          </c:spPr>
          <c:invertIfNegative val="0"/>
          <c:cat>
            <c:strRef>
              <c:f>'Volume &amp; OI Charts'!$AC$30:$AC$40</c:f>
              <c:strCache>
                <c:ptCount val="11"/>
                <c:pt idx="0">
                  <c:v>Today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strCache>
            </c:strRef>
          </c:cat>
          <c:val>
            <c:numRef>
              <c:f>'Volume &amp; OI Charts'!$AB$30:$AB$40</c:f>
              <c:numCache>
                <c:formatCode>General</c:formatCode>
                <c:ptCount val="11"/>
                <c:pt idx="0">
                  <c:v>209820</c:v>
                </c:pt>
                <c:pt idx="1">
                  <c:v>341455</c:v>
                </c:pt>
                <c:pt idx="2">
                  <c:v>558537</c:v>
                </c:pt>
                <c:pt idx="3">
                  <c:v>329883</c:v>
                </c:pt>
                <c:pt idx="4">
                  <c:v>375240</c:v>
                </c:pt>
                <c:pt idx="5">
                  <c:v>363230</c:v>
                </c:pt>
                <c:pt idx="6">
                  <c:v>351374</c:v>
                </c:pt>
                <c:pt idx="7">
                  <c:v>300176</c:v>
                </c:pt>
                <c:pt idx="8">
                  <c:v>391465</c:v>
                </c:pt>
                <c:pt idx="9">
                  <c:v>294507</c:v>
                </c:pt>
                <c:pt idx="10">
                  <c:v>219539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33451728"/>
        <c:axId val="833452288"/>
      </c:barChart>
      <c:catAx>
        <c:axId val="8334517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33452288"/>
        <c:crosses val="autoZero"/>
        <c:auto val="1"/>
        <c:lblAlgn val="ctr"/>
        <c:lblOffset val="100"/>
        <c:noMultiLvlLbl val="0"/>
      </c:catAx>
      <c:valAx>
        <c:axId val="8334522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accent1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solidFill>
            <a:schemeClr val="tx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33451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Daily Contract Open Interest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bg1"/>
              </a:solidFill>
              <a:round/>
            </a:ln>
            <a:effectLst/>
          </c:spPr>
          <c:marker>
            <c:symbol val="circle"/>
            <c:size val="8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 cap="rnd">
                <a:solidFill>
                  <a:srgbClr val="00B0F0"/>
                </a:solidFill>
              </a:ln>
              <a:effectLst/>
            </c:spPr>
          </c:marker>
          <c:cat>
            <c:strRef>
              <c:f>'Volume &amp; OI Charts'!$AF$30:$AF$40</c:f>
              <c:strCache>
                <c:ptCount val="11"/>
                <c:pt idx="0">
                  <c:v>Ystdy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  <c:pt idx="10">
                  <c:v>-11</c:v>
                </c:pt>
              </c:strCache>
            </c:strRef>
          </c:cat>
          <c:val>
            <c:numRef>
              <c:f>'Volume &amp; OI Charts'!$AD$30:$AD$40</c:f>
              <c:numCache>
                <c:formatCode>General</c:formatCode>
                <c:ptCount val="11"/>
                <c:pt idx="0">
                  <c:v>#N/A</c:v>
                </c:pt>
                <c:pt idx="1">
                  <c:v>558416</c:v>
                </c:pt>
                <c:pt idx="2">
                  <c:v>558498</c:v>
                </c:pt>
                <c:pt idx="3">
                  <c:v>560568</c:v>
                </c:pt>
                <c:pt idx="4">
                  <c:v>559490</c:v>
                </c:pt>
                <c:pt idx="5">
                  <c:v>552536</c:v>
                </c:pt>
                <c:pt idx="6">
                  <c:v>547221</c:v>
                </c:pt>
                <c:pt idx="7">
                  <c:v>542351</c:v>
                </c:pt>
                <c:pt idx="8">
                  <c:v>545301</c:v>
                </c:pt>
                <c:pt idx="9">
                  <c:v>535580</c:v>
                </c:pt>
                <c:pt idx="10">
                  <c:v>532929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7"/>
            <c:spPr>
              <a:gradFill flip="none" rotWithShape="1">
                <a:gsLst>
                  <a:gs pos="0">
                    <a:schemeClr val="accent1">
                      <a:lumMod val="40000"/>
                      <a:lumOff val="60000"/>
                    </a:schemeClr>
                  </a:gs>
                  <a:gs pos="46000">
                    <a:schemeClr val="accent1">
                      <a:lumMod val="95000"/>
                      <a:lumOff val="5000"/>
                    </a:schemeClr>
                  </a:gs>
                  <a:gs pos="100000">
                    <a:schemeClr val="accent1">
                      <a:lumMod val="60000"/>
                    </a:schemeClr>
                  </a:gs>
                </a:gsLst>
                <a:path path="circle">
                  <a:fillToRect l="50000" t="130000" r="50000" b="-30000"/>
                </a:path>
                <a:tileRect/>
              </a:gra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'Volume &amp; OI Charts'!$AF$30:$AF$40</c:f>
              <c:strCache>
                <c:ptCount val="11"/>
                <c:pt idx="0">
                  <c:v>Ystdy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  <c:pt idx="10">
                  <c:v>-11</c:v>
                </c:pt>
              </c:strCache>
            </c:strRef>
          </c:cat>
          <c:val>
            <c:numRef>
              <c:f>'Volume &amp; OI Charts'!$AE$30:$AE$40</c:f>
              <c:numCache>
                <c:formatCode>General</c:formatCode>
                <c:ptCount val="11"/>
                <c:pt idx="0">
                  <c:v>#N/A</c:v>
                </c:pt>
                <c:pt idx="1">
                  <c:v>11038</c:v>
                </c:pt>
                <c:pt idx="2">
                  <c:v>10584</c:v>
                </c:pt>
                <c:pt idx="3">
                  <c:v>10453</c:v>
                </c:pt>
                <c:pt idx="4">
                  <c:v>9795</c:v>
                </c:pt>
                <c:pt idx="5">
                  <c:v>7968</c:v>
                </c:pt>
                <c:pt idx="6">
                  <c:v>7680</c:v>
                </c:pt>
                <c:pt idx="7">
                  <c:v>6400</c:v>
                </c:pt>
                <c:pt idx="8">
                  <c:v>5185</c:v>
                </c:pt>
                <c:pt idx="9">
                  <c:v>4280</c:v>
                </c:pt>
                <c:pt idx="10">
                  <c:v>3195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427840"/>
        <c:axId val="280428400"/>
      </c:lineChart>
      <c:catAx>
        <c:axId val="2804278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80428400"/>
        <c:crosses val="autoZero"/>
        <c:auto val="1"/>
        <c:lblAlgn val="ctr"/>
        <c:lblOffset val="100"/>
        <c:noMultiLvlLbl val="0"/>
      </c:catAx>
      <c:valAx>
        <c:axId val="2804284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accent1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8042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Daily Traded Volume</a:t>
            </a:r>
          </a:p>
        </c:rich>
      </c:tx>
      <c:layout>
        <c:manualLayout>
          <c:xMode val="edge"/>
          <c:yMode val="edge"/>
          <c:x val="0.29758100237470314"/>
          <c:y val="3.0075187969924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555783787896069E-2"/>
          <c:y val="0.16545644123251718"/>
          <c:w val="0.82758715160604923"/>
          <c:h val="0.7604737424350881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5">
                    <a:lumMod val="89000"/>
                  </a:schemeClr>
                </a:gs>
                <a:gs pos="23000">
                  <a:schemeClr val="accent5">
                    <a:lumMod val="89000"/>
                  </a:schemeClr>
                </a:gs>
                <a:gs pos="69000">
                  <a:schemeClr val="accent5">
                    <a:lumMod val="75000"/>
                  </a:schemeClr>
                </a:gs>
                <a:gs pos="97000">
                  <a:schemeClr val="accent5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>
              <a:noFill/>
            </a:ln>
            <a:effectLst/>
          </c:spPr>
          <c:invertIfNegative val="0"/>
          <c:cat>
            <c:strRef>
              <c:f>'Volume &amp; OI Charts (2)'!$AC$11:$AC$21</c:f>
              <c:strCache>
                <c:ptCount val="11"/>
                <c:pt idx="0">
                  <c:v>Today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strCache>
            </c:strRef>
          </c:cat>
          <c:val>
            <c:numRef>
              <c:f>'Volume &amp; OI Charts (2)'!$AA$11:$AA$21</c:f>
              <c:numCache>
                <c:formatCode>General</c:formatCode>
                <c:ptCount val="11"/>
                <c:pt idx="0">
                  <c:v>26247</c:v>
                </c:pt>
                <c:pt idx="1">
                  <c:v>38481</c:v>
                </c:pt>
                <c:pt idx="2">
                  <c:v>48375</c:v>
                </c:pt>
                <c:pt idx="3">
                  <c:v>41849</c:v>
                </c:pt>
                <c:pt idx="4">
                  <c:v>43446</c:v>
                </c:pt>
                <c:pt idx="5">
                  <c:v>13968</c:v>
                </c:pt>
                <c:pt idx="6">
                  <c:v>11200</c:v>
                </c:pt>
                <c:pt idx="7">
                  <c:v>18087</c:v>
                </c:pt>
                <c:pt idx="8">
                  <c:v>19958</c:v>
                </c:pt>
                <c:pt idx="9">
                  <c:v>23627</c:v>
                </c:pt>
                <c:pt idx="10">
                  <c:v>6347</c:v>
                </c:pt>
              </c:numCache>
            </c:numRef>
          </c:val>
        </c:ser>
        <c:ser>
          <c:idx val="1"/>
          <c:order val="1"/>
          <c:spPr>
            <a:gradFill flip="none" rotWithShape="1">
              <a:gsLst>
                <a:gs pos="0">
                  <a:schemeClr val="accent1">
                    <a:lumMod val="0"/>
                    <a:lumOff val="100000"/>
                  </a:schemeClr>
                </a:gs>
                <a:gs pos="35000">
                  <a:schemeClr val="accent1">
                    <a:lumMod val="0"/>
                    <a:lumOff val="100000"/>
                  </a:schemeClr>
                </a:gs>
                <a:gs pos="100000">
                  <a:schemeClr val="accent1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/>
          </c:spPr>
          <c:invertIfNegative val="0"/>
          <c:cat>
            <c:strRef>
              <c:f>'Volume &amp; OI Charts (2)'!$AC$11:$AC$21</c:f>
              <c:strCache>
                <c:ptCount val="11"/>
                <c:pt idx="0">
                  <c:v>Today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strCache>
            </c:strRef>
          </c:cat>
          <c:val>
            <c:numRef>
              <c:f>'Volume &amp; OI Charts (2)'!$AB$11:$AB$21</c:f>
              <c:numCache>
                <c:formatCode>General</c:formatCode>
                <c:ptCount val="11"/>
                <c:pt idx="0">
                  <c:v>1103532</c:v>
                </c:pt>
                <c:pt idx="1">
                  <c:v>1727313</c:v>
                </c:pt>
                <c:pt idx="2">
                  <c:v>2468876</c:v>
                </c:pt>
                <c:pt idx="3">
                  <c:v>1781823</c:v>
                </c:pt>
                <c:pt idx="4">
                  <c:v>1993045</c:v>
                </c:pt>
                <c:pt idx="5">
                  <c:v>1675081</c:v>
                </c:pt>
                <c:pt idx="6">
                  <c:v>1837286</c:v>
                </c:pt>
                <c:pt idx="7">
                  <c:v>1708898</c:v>
                </c:pt>
                <c:pt idx="8">
                  <c:v>1998839</c:v>
                </c:pt>
                <c:pt idx="9">
                  <c:v>1420462</c:v>
                </c:pt>
                <c:pt idx="10">
                  <c:v>1229545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33566320"/>
        <c:axId val="833566880"/>
      </c:barChart>
      <c:catAx>
        <c:axId val="8335663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33566880"/>
        <c:crosses val="autoZero"/>
        <c:auto val="1"/>
        <c:lblAlgn val="ctr"/>
        <c:lblOffset val="100"/>
        <c:noMultiLvlLbl val="0"/>
      </c:catAx>
      <c:valAx>
        <c:axId val="8335668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accent1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solidFill>
            <a:schemeClr val="tx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3356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Daily Contract Open Interest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 cap="rnd">
                <a:solidFill>
                  <a:srgbClr val="00B0F0"/>
                </a:solidFill>
              </a:ln>
              <a:effectLst/>
            </c:spPr>
          </c:marker>
          <c:cat>
            <c:strRef>
              <c:f>'Volume &amp; OI Charts (2)'!$AF$11:$AF$21</c:f>
              <c:strCache>
                <c:ptCount val="11"/>
                <c:pt idx="0">
                  <c:v>Ystdy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  <c:pt idx="10">
                  <c:v>-11</c:v>
                </c:pt>
              </c:strCache>
            </c:strRef>
          </c:cat>
          <c:val>
            <c:numRef>
              <c:f>'Volume &amp; OI Charts (2)'!$AD$11:$AD$21</c:f>
              <c:numCache>
                <c:formatCode>General</c:formatCode>
                <c:ptCount val="11"/>
                <c:pt idx="0">
                  <c:v>#N/A</c:v>
                </c:pt>
                <c:pt idx="1">
                  <c:v>2969999</c:v>
                </c:pt>
                <c:pt idx="2">
                  <c:v>2933408</c:v>
                </c:pt>
                <c:pt idx="3">
                  <c:v>2923228</c:v>
                </c:pt>
                <c:pt idx="4">
                  <c:v>2932255</c:v>
                </c:pt>
                <c:pt idx="5">
                  <c:v>2929461</c:v>
                </c:pt>
                <c:pt idx="6">
                  <c:v>2941404</c:v>
                </c:pt>
                <c:pt idx="7">
                  <c:v>2913524</c:v>
                </c:pt>
                <c:pt idx="8">
                  <c:v>2913247</c:v>
                </c:pt>
                <c:pt idx="9">
                  <c:v>2869462</c:v>
                </c:pt>
                <c:pt idx="10">
                  <c:v>2910237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7"/>
            <c:spPr>
              <a:gradFill flip="none" rotWithShape="1">
                <a:gsLst>
                  <a:gs pos="0">
                    <a:schemeClr val="accent1">
                      <a:lumMod val="40000"/>
                      <a:lumOff val="60000"/>
                    </a:schemeClr>
                  </a:gs>
                  <a:gs pos="46000">
                    <a:schemeClr val="accent1">
                      <a:lumMod val="95000"/>
                      <a:lumOff val="5000"/>
                    </a:schemeClr>
                  </a:gs>
                  <a:gs pos="100000">
                    <a:schemeClr val="accent1">
                      <a:lumMod val="60000"/>
                    </a:schemeClr>
                  </a:gs>
                </a:gsLst>
                <a:path path="circle">
                  <a:fillToRect l="50000" t="130000" r="50000" b="-30000"/>
                </a:path>
                <a:tileRect/>
              </a:gra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3"/>
            <c:marker>
              <c:symbol val="square"/>
              <c:size val="7"/>
              <c:spPr>
                <a:gradFill flip="none" rotWithShape="1">
                  <a:gsLst>
                    <a:gs pos="0">
                      <a:schemeClr val="accent1">
                        <a:lumMod val="67000"/>
                      </a:schemeClr>
                    </a:gs>
                    <a:gs pos="48000">
                      <a:schemeClr val="accent1">
                        <a:lumMod val="97000"/>
                        <a:lumOff val="3000"/>
                      </a:schemeClr>
                    </a:gs>
                    <a:gs pos="100000">
                      <a:schemeClr val="accent1">
                        <a:lumMod val="60000"/>
                        <a:lumOff val="40000"/>
                      </a:schemeClr>
                    </a:gs>
                  </a:gsLst>
                  <a:lin ang="16200000" scaled="1"/>
                  <a:tileRect/>
                </a:gra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</c:dPt>
          <c:cat>
            <c:strRef>
              <c:f>'Volume &amp; OI Charts (2)'!$AF$11:$AF$21</c:f>
              <c:strCache>
                <c:ptCount val="11"/>
                <c:pt idx="0">
                  <c:v>Ystdy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  <c:pt idx="10">
                  <c:v>-11</c:v>
                </c:pt>
              </c:strCache>
            </c:strRef>
          </c:cat>
          <c:val>
            <c:numRef>
              <c:f>'Volume &amp; OI Charts (2)'!$AE$11:$AE$21</c:f>
              <c:numCache>
                <c:formatCode>General</c:formatCode>
                <c:ptCount val="11"/>
                <c:pt idx="0">
                  <c:v>#N/A</c:v>
                </c:pt>
                <c:pt idx="1">
                  <c:v>163241</c:v>
                </c:pt>
                <c:pt idx="2">
                  <c:v>124715</c:v>
                </c:pt>
                <c:pt idx="3">
                  <c:v>110882</c:v>
                </c:pt>
                <c:pt idx="4">
                  <c:v>91545</c:v>
                </c:pt>
                <c:pt idx="5">
                  <c:v>87974</c:v>
                </c:pt>
                <c:pt idx="6">
                  <c:v>83638</c:v>
                </c:pt>
                <c:pt idx="7">
                  <c:v>78189</c:v>
                </c:pt>
                <c:pt idx="8">
                  <c:v>71249</c:v>
                </c:pt>
                <c:pt idx="9">
                  <c:v>55190</c:v>
                </c:pt>
                <c:pt idx="10">
                  <c:v>52539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18000"/>
        <c:axId val="828218560"/>
      </c:lineChart>
      <c:catAx>
        <c:axId val="8282180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28218560"/>
        <c:crosses val="autoZero"/>
        <c:auto val="1"/>
        <c:lblAlgn val="ctr"/>
        <c:lblOffset val="100"/>
        <c:noMultiLvlLbl val="0"/>
      </c:catAx>
      <c:valAx>
        <c:axId val="8282185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accent1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2821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Daily Traded Volume</a:t>
            </a:r>
          </a:p>
        </c:rich>
      </c:tx>
      <c:layout>
        <c:manualLayout>
          <c:xMode val="edge"/>
          <c:yMode val="edge"/>
          <c:x val="0.29758100237470314"/>
          <c:y val="3.0075187969924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7062967129108858E-2"/>
          <c:y val="0.15994792317626963"/>
          <c:w val="0.82758715160604923"/>
          <c:h val="0.7340186643336250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89000"/>
                  </a:schemeClr>
                </a:gs>
                <a:gs pos="23000">
                  <a:schemeClr val="accent1">
                    <a:lumMod val="89000"/>
                  </a:schemeClr>
                </a:gs>
                <a:gs pos="69000">
                  <a:schemeClr val="accent1">
                    <a:lumMod val="75000"/>
                  </a:schemeClr>
                </a:gs>
                <a:gs pos="97000">
                  <a:schemeClr val="accent1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>
              <a:noFill/>
            </a:ln>
            <a:effectLst/>
          </c:spPr>
          <c:invertIfNegative val="0"/>
          <c:cat>
            <c:strRef>
              <c:f>'Volume &amp; OI Charts (2)'!$AC$30:$AC$40</c:f>
              <c:strCache>
                <c:ptCount val="11"/>
                <c:pt idx="0">
                  <c:v>Today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strCache>
            </c:strRef>
          </c:cat>
          <c:val>
            <c:numRef>
              <c:f>'Volume &amp; OI Charts (2)'!$AA$30:$AA$40</c:f>
              <c:numCache>
                <c:formatCode>General</c:formatCode>
                <c:ptCount val="11"/>
                <c:pt idx="0">
                  <c:v>1366</c:v>
                </c:pt>
                <c:pt idx="1">
                  <c:v>4543</c:v>
                </c:pt>
                <c:pt idx="2">
                  <c:v>4370</c:v>
                </c:pt>
                <c:pt idx="3">
                  <c:v>4768</c:v>
                </c:pt>
                <c:pt idx="4">
                  <c:v>2867</c:v>
                </c:pt>
                <c:pt idx="5">
                  <c:v>3476</c:v>
                </c:pt>
                <c:pt idx="6">
                  <c:v>1346</c:v>
                </c:pt>
                <c:pt idx="7">
                  <c:v>1992</c:v>
                </c:pt>
                <c:pt idx="8">
                  <c:v>3604</c:v>
                </c:pt>
                <c:pt idx="9">
                  <c:v>1506</c:v>
                </c:pt>
                <c:pt idx="10">
                  <c:v>1710</c:v>
                </c:pt>
              </c:numCache>
            </c:numRef>
          </c:val>
        </c:ser>
        <c:ser>
          <c:idx val="1"/>
          <c:order val="1"/>
          <c:spPr>
            <a:gradFill flip="none" rotWithShape="1">
              <a:gsLst>
                <a:gs pos="0">
                  <a:schemeClr val="accent1">
                    <a:lumMod val="0"/>
                    <a:lumOff val="100000"/>
                  </a:schemeClr>
                </a:gs>
                <a:gs pos="35000">
                  <a:schemeClr val="accent1">
                    <a:lumMod val="0"/>
                    <a:lumOff val="100000"/>
                  </a:schemeClr>
                </a:gs>
                <a:gs pos="100000">
                  <a:schemeClr val="accent1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/>
          </c:spPr>
          <c:invertIfNegative val="0"/>
          <c:cat>
            <c:strRef>
              <c:f>'Volume &amp; OI Charts (2)'!$AC$30:$AC$40</c:f>
              <c:strCache>
                <c:ptCount val="11"/>
                <c:pt idx="0">
                  <c:v>Today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strCache>
            </c:strRef>
          </c:cat>
          <c:val>
            <c:numRef>
              <c:f>'Volume &amp; OI Charts (2)'!$AB$30:$AB$40</c:f>
              <c:numCache>
                <c:formatCode>General</c:formatCode>
                <c:ptCount val="11"/>
                <c:pt idx="0">
                  <c:v>209820</c:v>
                </c:pt>
                <c:pt idx="1">
                  <c:v>341455</c:v>
                </c:pt>
                <c:pt idx="2">
                  <c:v>558537</c:v>
                </c:pt>
                <c:pt idx="3">
                  <c:v>329883</c:v>
                </c:pt>
                <c:pt idx="4">
                  <c:v>375240</c:v>
                </c:pt>
                <c:pt idx="5">
                  <c:v>363230</c:v>
                </c:pt>
                <c:pt idx="6">
                  <c:v>351374</c:v>
                </c:pt>
                <c:pt idx="7">
                  <c:v>300176</c:v>
                </c:pt>
                <c:pt idx="8">
                  <c:v>391465</c:v>
                </c:pt>
                <c:pt idx="9">
                  <c:v>294507</c:v>
                </c:pt>
                <c:pt idx="10">
                  <c:v>219539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87288688"/>
        <c:axId val="287289248"/>
      </c:barChart>
      <c:catAx>
        <c:axId val="2872886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87289248"/>
        <c:crosses val="autoZero"/>
        <c:auto val="1"/>
        <c:lblAlgn val="ctr"/>
        <c:lblOffset val="100"/>
        <c:noMultiLvlLbl val="0"/>
      </c:catAx>
      <c:valAx>
        <c:axId val="2872892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accent1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solidFill>
            <a:schemeClr val="tx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8728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Daily Contract Open Interest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bg1"/>
              </a:solidFill>
              <a:round/>
            </a:ln>
            <a:effectLst/>
          </c:spPr>
          <c:marker>
            <c:symbol val="circle"/>
            <c:size val="8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 cap="rnd">
                <a:solidFill>
                  <a:srgbClr val="00B0F0"/>
                </a:solidFill>
              </a:ln>
              <a:effectLst/>
            </c:spPr>
          </c:marker>
          <c:cat>
            <c:strRef>
              <c:f>'Volume &amp; OI Charts (2)'!$AF$30:$AF$40</c:f>
              <c:strCache>
                <c:ptCount val="11"/>
                <c:pt idx="0">
                  <c:v>Ystdy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  <c:pt idx="10">
                  <c:v>-11</c:v>
                </c:pt>
              </c:strCache>
            </c:strRef>
          </c:cat>
          <c:val>
            <c:numRef>
              <c:f>'Volume &amp; OI Charts (2)'!$AD$30:$AD$40</c:f>
              <c:numCache>
                <c:formatCode>General</c:formatCode>
                <c:ptCount val="11"/>
                <c:pt idx="0">
                  <c:v>#N/A</c:v>
                </c:pt>
                <c:pt idx="1">
                  <c:v>558416</c:v>
                </c:pt>
                <c:pt idx="2">
                  <c:v>558498</c:v>
                </c:pt>
                <c:pt idx="3">
                  <c:v>560568</c:v>
                </c:pt>
                <c:pt idx="4">
                  <c:v>559490</c:v>
                </c:pt>
                <c:pt idx="5">
                  <c:v>552536</c:v>
                </c:pt>
                <c:pt idx="6">
                  <c:v>547221</c:v>
                </c:pt>
                <c:pt idx="7">
                  <c:v>542351</c:v>
                </c:pt>
                <c:pt idx="8">
                  <c:v>545301</c:v>
                </c:pt>
                <c:pt idx="9">
                  <c:v>535580</c:v>
                </c:pt>
                <c:pt idx="10">
                  <c:v>532929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7"/>
            <c:spPr>
              <a:gradFill flip="none" rotWithShape="1">
                <a:gsLst>
                  <a:gs pos="0">
                    <a:schemeClr val="accent1">
                      <a:lumMod val="40000"/>
                      <a:lumOff val="60000"/>
                    </a:schemeClr>
                  </a:gs>
                  <a:gs pos="46000">
                    <a:schemeClr val="accent1">
                      <a:lumMod val="95000"/>
                      <a:lumOff val="5000"/>
                    </a:schemeClr>
                  </a:gs>
                  <a:gs pos="100000">
                    <a:schemeClr val="accent1">
                      <a:lumMod val="60000"/>
                    </a:schemeClr>
                  </a:gs>
                </a:gsLst>
                <a:path path="circle">
                  <a:fillToRect l="50000" t="130000" r="50000" b="-30000"/>
                </a:path>
                <a:tileRect/>
              </a:gra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'Volume &amp; OI Charts (2)'!$AF$30:$AF$40</c:f>
              <c:strCache>
                <c:ptCount val="11"/>
                <c:pt idx="0">
                  <c:v>Ystdy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  <c:pt idx="10">
                  <c:v>-11</c:v>
                </c:pt>
              </c:strCache>
            </c:strRef>
          </c:cat>
          <c:val>
            <c:numRef>
              <c:f>'Volume &amp; OI Charts (2)'!$AE$30:$AE$40</c:f>
              <c:numCache>
                <c:formatCode>General</c:formatCode>
                <c:ptCount val="11"/>
                <c:pt idx="0">
                  <c:v>#N/A</c:v>
                </c:pt>
                <c:pt idx="1">
                  <c:v>11038</c:v>
                </c:pt>
                <c:pt idx="2">
                  <c:v>10584</c:v>
                </c:pt>
                <c:pt idx="3">
                  <c:v>10453</c:v>
                </c:pt>
                <c:pt idx="4">
                  <c:v>9795</c:v>
                </c:pt>
                <c:pt idx="5">
                  <c:v>7968</c:v>
                </c:pt>
                <c:pt idx="6">
                  <c:v>7680</c:v>
                </c:pt>
                <c:pt idx="7">
                  <c:v>6400</c:v>
                </c:pt>
                <c:pt idx="8">
                  <c:v>5185</c:v>
                </c:pt>
                <c:pt idx="9">
                  <c:v>4280</c:v>
                </c:pt>
                <c:pt idx="10">
                  <c:v>3195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64048"/>
        <c:axId val="781064608"/>
      </c:lineChart>
      <c:catAx>
        <c:axId val="7810640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81064608"/>
        <c:crosses val="autoZero"/>
        <c:auto val="1"/>
        <c:lblAlgn val="ctr"/>
        <c:lblOffset val="100"/>
        <c:noMultiLvlLbl val="0"/>
      </c:catAx>
      <c:valAx>
        <c:axId val="7810646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accent1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8106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7" Type="http://schemas.openxmlformats.org/officeDocument/2006/relationships/image" Target="../media/image3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10</xdr:row>
      <xdr:rowOff>38100</xdr:rowOff>
    </xdr:from>
    <xdr:to>
      <xdr:col>7</xdr:col>
      <xdr:colOff>638175</xdr:colOff>
      <xdr:row>20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38101</xdr:colOff>
      <xdr:row>10</xdr:row>
      <xdr:rowOff>66675</xdr:rowOff>
    </xdr:from>
    <xdr:to>
      <xdr:col>23</xdr:col>
      <xdr:colOff>533400</xdr:colOff>
      <xdr:row>20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29</xdr:row>
      <xdr:rowOff>57150</xdr:rowOff>
    </xdr:from>
    <xdr:to>
      <xdr:col>7</xdr:col>
      <xdr:colOff>619125</xdr:colOff>
      <xdr:row>39</xdr:row>
      <xdr:rowOff>171450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38101</xdr:colOff>
      <xdr:row>29</xdr:row>
      <xdr:rowOff>66676</xdr:rowOff>
    </xdr:from>
    <xdr:to>
      <xdr:col>23</xdr:col>
      <xdr:colOff>533400</xdr:colOff>
      <xdr:row>39</xdr:row>
      <xdr:rowOff>85726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</xdr:col>
      <xdr:colOff>636270</xdr:colOff>
      <xdr:row>40</xdr:row>
      <xdr:rowOff>74296</xdr:rowOff>
    </xdr:from>
    <xdr:ext cx="364382" cy="85737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98295" y="9618346"/>
          <a:ext cx="364382" cy="85737"/>
        </a:xfrm>
        <a:prstGeom prst="rect">
          <a:avLst/>
        </a:prstGeom>
      </xdr:spPr>
    </xdr:pic>
    <xdr:clientData/>
  </xdr:oneCellAnchor>
  <xdr:oneCellAnchor>
    <xdr:from>
      <xdr:col>1</xdr:col>
      <xdr:colOff>476250</xdr:colOff>
      <xdr:row>10</xdr:row>
      <xdr:rowOff>161925</xdr:rowOff>
    </xdr:from>
    <xdr:ext cx="523810" cy="123810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225" y="2114550"/>
          <a:ext cx="523810" cy="123810"/>
        </a:xfrm>
        <a:prstGeom prst="rect">
          <a:avLst/>
        </a:prstGeom>
      </xdr:spPr>
    </xdr:pic>
    <xdr:clientData/>
  </xdr:oneCellAnchor>
  <xdr:oneCellAnchor>
    <xdr:from>
      <xdr:col>17</xdr:col>
      <xdr:colOff>200025</xdr:colOff>
      <xdr:row>10</xdr:row>
      <xdr:rowOff>180975</xdr:rowOff>
    </xdr:from>
    <xdr:ext cx="523810" cy="123810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44025" y="2085975"/>
          <a:ext cx="523810" cy="123810"/>
        </a:xfrm>
        <a:prstGeom prst="rect">
          <a:avLst/>
        </a:prstGeom>
      </xdr:spPr>
    </xdr:pic>
    <xdr:clientData/>
  </xdr:oneCellAnchor>
  <xdr:oneCellAnchor>
    <xdr:from>
      <xdr:col>1</xdr:col>
      <xdr:colOff>419100</xdr:colOff>
      <xdr:row>29</xdr:row>
      <xdr:rowOff>190500</xdr:rowOff>
    </xdr:from>
    <xdr:ext cx="523810" cy="123810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0075" y="6715125"/>
          <a:ext cx="523810" cy="123810"/>
        </a:xfrm>
        <a:prstGeom prst="rect">
          <a:avLst/>
        </a:prstGeom>
      </xdr:spPr>
    </xdr:pic>
    <xdr:clientData/>
  </xdr:oneCellAnchor>
  <xdr:oneCellAnchor>
    <xdr:from>
      <xdr:col>17</xdr:col>
      <xdr:colOff>180975</xdr:colOff>
      <xdr:row>29</xdr:row>
      <xdr:rowOff>209550</xdr:rowOff>
    </xdr:from>
    <xdr:ext cx="523810" cy="123810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24975" y="5715000"/>
          <a:ext cx="523810" cy="123810"/>
        </a:xfrm>
        <a:prstGeom prst="rect">
          <a:avLst/>
        </a:prstGeom>
      </xdr:spPr>
    </xdr:pic>
    <xdr:clientData/>
  </xdr:oneCellAnchor>
  <xdr:twoCellAnchor editAs="oneCell">
    <xdr:from>
      <xdr:col>1</xdr:col>
      <xdr:colOff>561975</xdr:colOff>
      <xdr:row>1</xdr:row>
      <xdr:rowOff>190500</xdr:rowOff>
    </xdr:from>
    <xdr:to>
      <xdr:col>2</xdr:col>
      <xdr:colOff>380925</xdr:colOff>
      <xdr:row>2</xdr:row>
      <xdr:rowOff>66657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2950" y="238125"/>
          <a:ext cx="600000" cy="142857"/>
        </a:xfrm>
        <a:prstGeom prst="rect">
          <a:avLst/>
        </a:prstGeom>
      </xdr:spPr>
    </xdr:pic>
    <xdr:clientData/>
  </xdr:twoCellAnchor>
  <xdr:twoCellAnchor editAs="oneCell">
    <xdr:from>
      <xdr:col>22</xdr:col>
      <xdr:colOff>495300</xdr:colOff>
      <xdr:row>1</xdr:row>
      <xdr:rowOff>209550</xdr:rowOff>
    </xdr:from>
    <xdr:to>
      <xdr:col>23</xdr:col>
      <xdr:colOff>314250</xdr:colOff>
      <xdr:row>2</xdr:row>
      <xdr:rowOff>85707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744950" y="257175"/>
          <a:ext cx="600000" cy="1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561975</xdr:colOff>
      <xdr:row>1</xdr:row>
      <xdr:rowOff>190500</xdr:rowOff>
    </xdr:from>
    <xdr:to>
      <xdr:col>2</xdr:col>
      <xdr:colOff>380925</xdr:colOff>
      <xdr:row>2</xdr:row>
      <xdr:rowOff>66657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2950" y="238125"/>
          <a:ext cx="600000" cy="142857"/>
        </a:xfrm>
        <a:prstGeom prst="rect">
          <a:avLst/>
        </a:prstGeom>
      </xdr:spPr>
    </xdr:pic>
    <xdr:clientData/>
  </xdr:twoCellAnchor>
  <xdr:twoCellAnchor editAs="oneCell">
    <xdr:from>
      <xdr:col>22</xdr:col>
      <xdr:colOff>495300</xdr:colOff>
      <xdr:row>1</xdr:row>
      <xdr:rowOff>209550</xdr:rowOff>
    </xdr:from>
    <xdr:to>
      <xdr:col>23</xdr:col>
      <xdr:colOff>314250</xdr:colOff>
      <xdr:row>2</xdr:row>
      <xdr:rowOff>85707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744950" y="257175"/>
          <a:ext cx="600000" cy="142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10</xdr:row>
      <xdr:rowOff>38100</xdr:rowOff>
    </xdr:from>
    <xdr:to>
      <xdr:col>7</xdr:col>
      <xdr:colOff>638175</xdr:colOff>
      <xdr:row>20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38101</xdr:colOff>
      <xdr:row>10</xdr:row>
      <xdr:rowOff>66675</xdr:rowOff>
    </xdr:from>
    <xdr:to>
      <xdr:col>23</xdr:col>
      <xdr:colOff>533400</xdr:colOff>
      <xdr:row>20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29</xdr:row>
      <xdr:rowOff>57150</xdr:rowOff>
    </xdr:from>
    <xdr:to>
      <xdr:col>7</xdr:col>
      <xdr:colOff>619125</xdr:colOff>
      <xdr:row>39</xdr:row>
      <xdr:rowOff>171450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38101</xdr:colOff>
      <xdr:row>29</xdr:row>
      <xdr:rowOff>66676</xdr:rowOff>
    </xdr:from>
    <xdr:to>
      <xdr:col>23</xdr:col>
      <xdr:colOff>533400</xdr:colOff>
      <xdr:row>39</xdr:row>
      <xdr:rowOff>85726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</xdr:col>
      <xdr:colOff>636270</xdr:colOff>
      <xdr:row>40</xdr:row>
      <xdr:rowOff>74296</xdr:rowOff>
    </xdr:from>
    <xdr:ext cx="364382" cy="85737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98295" y="9618346"/>
          <a:ext cx="364382" cy="85737"/>
        </a:xfrm>
        <a:prstGeom prst="rect">
          <a:avLst/>
        </a:prstGeom>
      </xdr:spPr>
    </xdr:pic>
    <xdr:clientData/>
  </xdr:oneCellAnchor>
  <xdr:oneCellAnchor>
    <xdr:from>
      <xdr:col>1</xdr:col>
      <xdr:colOff>476250</xdr:colOff>
      <xdr:row>10</xdr:row>
      <xdr:rowOff>161925</xdr:rowOff>
    </xdr:from>
    <xdr:ext cx="523810" cy="123810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225" y="2228850"/>
          <a:ext cx="523810" cy="123810"/>
        </a:xfrm>
        <a:prstGeom prst="rect">
          <a:avLst/>
        </a:prstGeom>
      </xdr:spPr>
    </xdr:pic>
    <xdr:clientData/>
  </xdr:oneCellAnchor>
  <xdr:oneCellAnchor>
    <xdr:from>
      <xdr:col>17</xdr:col>
      <xdr:colOff>200025</xdr:colOff>
      <xdr:row>10</xdr:row>
      <xdr:rowOff>180975</xdr:rowOff>
    </xdr:from>
    <xdr:ext cx="523810" cy="123810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544425" y="2247900"/>
          <a:ext cx="523810" cy="123810"/>
        </a:xfrm>
        <a:prstGeom prst="rect">
          <a:avLst/>
        </a:prstGeom>
      </xdr:spPr>
    </xdr:pic>
    <xdr:clientData/>
  </xdr:oneCellAnchor>
  <xdr:oneCellAnchor>
    <xdr:from>
      <xdr:col>1</xdr:col>
      <xdr:colOff>419100</xdr:colOff>
      <xdr:row>29</xdr:row>
      <xdr:rowOff>190500</xdr:rowOff>
    </xdr:from>
    <xdr:ext cx="523810" cy="123810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0075" y="6800850"/>
          <a:ext cx="523810" cy="123810"/>
        </a:xfrm>
        <a:prstGeom prst="rect">
          <a:avLst/>
        </a:prstGeom>
      </xdr:spPr>
    </xdr:pic>
    <xdr:clientData/>
  </xdr:oneCellAnchor>
  <xdr:oneCellAnchor>
    <xdr:from>
      <xdr:col>17</xdr:col>
      <xdr:colOff>180975</xdr:colOff>
      <xdr:row>29</xdr:row>
      <xdr:rowOff>209550</xdr:rowOff>
    </xdr:from>
    <xdr:ext cx="523810" cy="123810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525375" y="6819900"/>
          <a:ext cx="523810" cy="123810"/>
        </a:xfrm>
        <a:prstGeom prst="rect">
          <a:avLst/>
        </a:prstGeom>
      </xdr:spPr>
    </xdr:pic>
    <xdr:clientData/>
  </xdr:oneCellAnchor>
  <xdr:twoCellAnchor editAs="oneCell">
    <xdr:from>
      <xdr:col>1</xdr:col>
      <xdr:colOff>561975</xdr:colOff>
      <xdr:row>1</xdr:row>
      <xdr:rowOff>190500</xdr:rowOff>
    </xdr:from>
    <xdr:to>
      <xdr:col>2</xdr:col>
      <xdr:colOff>380925</xdr:colOff>
      <xdr:row>2</xdr:row>
      <xdr:rowOff>66657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2950" y="238125"/>
          <a:ext cx="600000" cy="142857"/>
        </a:xfrm>
        <a:prstGeom prst="rect">
          <a:avLst/>
        </a:prstGeom>
      </xdr:spPr>
    </xdr:pic>
    <xdr:clientData/>
  </xdr:twoCellAnchor>
  <xdr:twoCellAnchor editAs="oneCell">
    <xdr:from>
      <xdr:col>22</xdr:col>
      <xdr:colOff>495300</xdr:colOff>
      <xdr:row>1</xdr:row>
      <xdr:rowOff>209550</xdr:rowOff>
    </xdr:from>
    <xdr:to>
      <xdr:col>23</xdr:col>
      <xdr:colOff>314250</xdr:colOff>
      <xdr:row>2</xdr:row>
      <xdr:rowOff>85707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744950" y="257175"/>
          <a:ext cx="600000" cy="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1"/>
  <sheetViews>
    <sheetView showGridLines="0" showRowColHeaders="0" tabSelected="1" zoomScaleNormal="100" workbookViewId="0">
      <selection activeCell="B6" sqref="B6"/>
    </sheetView>
  </sheetViews>
  <sheetFormatPr defaultColWidth="9.140625" defaultRowHeight="17.25" x14ac:dyDescent="0.3"/>
  <cols>
    <col min="1" max="1" width="2.7109375" style="1" customWidth="1"/>
    <col min="2" max="11" width="11.7109375" style="1" customWidth="1"/>
    <col min="12" max="12" width="5.7109375" style="1" customWidth="1"/>
    <col min="13" max="13" width="18.7109375" style="1" customWidth="1"/>
    <col min="14" max="14" width="5.7109375" style="1" customWidth="1"/>
    <col min="15" max="24" width="11.7109375" style="1" customWidth="1"/>
    <col min="25" max="26" width="9.140625" style="1"/>
    <col min="27" max="27" width="11.85546875" style="1" customWidth="1"/>
    <col min="28" max="28" width="11.7109375" style="1" customWidth="1"/>
    <col min="29" max="29" width="9.140625" style="1"/>
    <col min="30" max="30" width="21.28515625" style="1" customWidth="1"/>
    <col min="31" max="31" width="12" style="1" customWidth="1"/>
    <col min="32" max="16384" width="9.140625" style="1"/>
  </cols>
  <sheetData>
    <row r="1" spans="2:36" ht="3.95" customHeight="1" x14ac:dyDescent="0.3"/>
    <row r="2" spans="2:36" ht="21" customHeight="1" x14ac:dyDescent="0.3">
      <c r="B2" s="92" t="s">
        <v>21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4"/>
      <c r="Y2" s="27"/>
      <c r="Z2" s="27"/>
      <c r="AA2" s="27"/>
      <c r="AB2" s="27"/>
      <c r="AC2" s="27"/>
      <c r="AD2" s="27"/>
      <c r="AI2" s="26"/>
      <c r="AJ2" s="26"/>
    </row>
    <row r="3" spans="2:36" ht="21" customHeight="1" x14ac:dyDescent="0.3"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7"/>
      <c r="Y3" s="27"/>
      <c r="Z3" s="27"/>
      <c r="AA3" s="27"/>
      <c r="AB3" s="27"/>
      <c r="AC3" s="27"/>
      <c r="AD3" s="27"/>
      <c r="AI3" s="26"/>
      <c r="AJ3" s="26"/>
    </row>
    <row r="4" spans="2:36" ht="20.100000000000001" customHeight="1" x14ac:dyDescent="0.3">
      <c r="B4" s="69" t="s">
        <v>20</v>
      </c>
      <c r="C4" s="70"/>
      <c r="D4" s="70"/>
      <c r="E4" s="70"/>
      <c r="F4" s="75">
        <f>IF(RTD("cqg.rtd",,"ContractData",B6,"FirstNoticeDate",,"D")=2,"Cash Settlement",RTD("cqg.rtd",,"ContractData",B6,"FirstNoticeDate",,"D"))</f>
        <v>42429</v>
      </c>
      <c r="G4" s="75"/>
      <c r="H4" s="70" t="s">
        <v>18</v>
      </c>
      <c r="I4" s="70"/>
      <c r="J4" s="75">
        <f>RTD("cqg.rtd",,"ContractData",B6,"ExpirationDate",,"D")</f>
        <v>42451</v>
      </c>
      <c r="K4" s="75"/>
      <c r="L4" s="54"/>
      <c r="M4" s="54"/>
      <c r="N4" s="55"/>
      <c r="O4" s="70" t="s">
        <v>19</v>
      </c>
      <c r="P4" s="70"/>
      <c r="Q4" s="70"/>
      <c r="R4" s="70"/>
      <c r="S4" s="75">
        <f>IF(RTD("cqg.rtd",,"ContractData",O6,"FirstNoticeDate",,"D")=2,"Cash Settlement",RTD("cqg.rtd",,"ContractData",O6,"FirstNoticeDate",,"D"))</f>
        <v>42521</v>
      </c>
      <c r="T4" s="75"/>
      <c r="U4" s="70" t="s">
        <v>18</v>
      </c>
      <c r="V4" s="70"/>
      <c r="W4" s="75">
        <f>RTD("cqg.rtd",,"ContractData",O6,"ExpirationDate",,"D")</f>
        <v>42542</v>
      </c>
      <c r="X4" s="75"/>
      <c r="Y4" s="24"/>
      <c r="Z4" s="24"/>
      <c r="AA4" s="24"/>
      <c r="AB4" s="24"/>
      <c r="AC4" s="24"/>
      <c r="AD4" s="24"/>
      <c r="AE4" s="24"/>
    </row>
    <row r="5" spans="2:36" ht="20.100000000000001" customHeight="1" x14ac:dyDescent="0.3">
      <c r="B5" s="44" t="s">
        <v>16</v>
      </c>
      <c r="C5" s="44" t="s">
        <v>15</v>
      </c>
      <c r="D5" s="44" t="s">
        <v>14</v>
      </c>
      <c r="E5" s="44" t="s">
        <v>13</v>
      </c>
      <c r="F5" s="44" t="s">
        <v>12</v>
      </c>
      <c r="G5" s="44" t="s">
        <v>11</v>
      </c>
      <c r="H5" s="45" t="s">
        <v>10</v>
      </c>
      <c r="I5" s="44" t="s">
        <v>9</v>
      </c>
      <c r="J5" s="44" t="s">
        <v>8</v>
      </c>
      <c r="K5" s="45" t="s">
        <v>17</v>
      </c>
      <c r="L5" s="81" t="s">
        <v>23</v>
      </c>
      <c r="M5" s="82"/>
      <c r="N5" s="83"/>
      <c r="O5" s="44" t="s">
        <v>16</v>
      </c>
      <c r="P5" s="44" t="s">
        <v>15</v>
      </c>
      <c r="Q5" s="44" t="s">
        <v>14</v>
      </c>
      <c r="R5" s="44" t="s">
        <v>13</v>
      </c>
      <c r="S5" s="44" t="s">
        <v>12</v>
      </c>
      <c r="T5" s="44" t="s">
        <v>11</v>
      </c>
      <c r="U5" s="44" t="s">
        <v>10</v>
      </c>
      <c r="V5" s="44" t="s">
        <v>9</v>
      </c>
      <c r="W5" s="44" t="s">
        <v>8</v>
      </c>
      <c r="X5" s="44" t="s">
        <v>7</v>
      </c>
    </row>
    <row r="6" spans="2:36" ht="20.100000000000001" customHeight="1" x14ac:dyDescent="0.3">
      <c r="B6" s="46" t="s">
        <v>22</v>
      </c>
      <c r="C6" s="47" t="str">
        <f>RTD("cqg.rtd",,"ContractData",B6,"LastPrice",,"F")</f>
        <v>13030+û</v>
      </c>
      <c r="D6" s="47" t="str">
        <f>RTD("cqg.rtd",,"ContractData",B6,"NetChange",,"F")</f>
        <v>-3+</v>
      </c>
      <c r="E6" s="47" t="str">
        <f>RTD("cqg.rtd",,"ContractData",B6,"Open",,"F")</f>
        <v>13031+</v>
      </c>
      <c r="F6" s="47" t="str">
        <f>RTD("cqg.rtd",,"ContractData",B6,"High",,"F")</f>
        <v>131050</v>
      </c>
      <c r="G6" s="47" t="str">
        <f>RTD("cqg.rtd",,"ContractData",B6,"Low",,"F")</f>
        <v>130200</v>
      </c>
      <c r="H6" s="47">
        <f>RTD("cqg.rtd",,"ContractData",B6,"VolumeLastBid",,"F")</f>
        <v>1921</v>
      </c>
      <c r="I6" s="47" t="str">
        <f>RTD("cqg.rtd",,"ContractData",B6,"Bid",,"F")</f>
        <v>130300</v>
      </c>
      <c r="J6" s="47" t="str">
        <f>RTD("cqg.rtd",,"ContractData",B6,"Ask",,"F")</f>
        <v>13030+</v>
      </c>
      <c r="K6" s="47">
        <f>RTD("cqg.rtd",,"ContractData",B6,"VolumeLAstAsk",,"F")</f>
        <v>298</v>
      </c>
      <c r="L6" s="84" t="s">
        <v>24</v>
      </c>
      <c r="M6" s="85"/>
      <c r="N6" s="86"/>
      <c r="O6" s="48" t="s">
        <v>29</v>
      </c>
      <c r="P6" s="47" t="str">
        <f>RTD("cqg.rtd",,"ContractData",O6,"LastPrice",,"F")</f>
        <v>130180ú</v>
      </c>
      <c r="Q6" s="47" t="str">
        <f>RTD("cqg.rtd",,"ContractData",O6,"NetChange",,"F")</f>
        <v>-40</v>
      </c>
      <c r="R6" s="47" t="str">
        <f>RTD("cqg.rtd",,"ContractData",O6,"Open",,"F")</f>
        <v>13020+</v>
      </c>
      <c r="S6" s="47" t="str">
        <f>RTD("cqg.rtd",,"ContractData",O6,"High",,"F")</f>
        <v>130250</v>
      </c>
      <c r="T6" s="47" t="str">
        <f>RTD("cqg.rtd",,"ContractData",O6,"Low",,"F")</f>
        <v>130080</v>
      </c>
      <c r="U6" s="47">
        <f>RTD("cqg.rtd",,"ContractData",O6,"VolumeLastBid",,"F")</f>
        <v>151</v>
      </c>
      <c r="V6" s="47" t="str">
        <f>RTD("cqg.rtd",,"ContractData",O6,"Bid",,"F")</f>
        <v>130180</v>
      </c>
      <c r="W6" s="47" t="str">
        <f>RTD("cqg.rtd",,"ContractData",O6,"Ask",,"F")</f>
        <v>130190</v>
      </c>
      <c r="X6" s="47">
        <f>RTD("cqg.rtd",,"ContractData",O6,"VolumeLAstAsk",,"F")</f>
        <v>389</v>
      </c>
    </row>
    <row r="7" spans="2:36" ht="2.1" customHeight="1" x14ac:dyDescent="0.3">
      <c r="B7" s="23" t="s">
        <v>22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2:36" ht="2.1" customHeight="1" x14ac:dyDescent="0.3">
      <c r="B8" s="22"/>
      <c r="C8" s="19"/>
      <c r="D8" s="19"/>
      <c r="E8" s="18"/>
      <c r="F8" s="18"/>
      <c r="G8" s="18"/>
      <c r="H8" s="18"/>
      <c r="I8" s="18"/>
      <c r="J8" s="18"/>
      <c r="K8" s="18"/>
      <c r="L8" s="18"/>
      <c r="M8" s="18"/>
      <c r="N8" s="21"/>
      <c r="O8" s="20"/>
      <c r="P8" s="19"/>
      <c r="Q8" s="19"/>
      <c r="R8" s="18"/>
      <c r="S8" s="18"/>
      <c r="T8" s="18"/>
      <c r="U8" s="18"/>
      <c r="V8" s="18"/>
      <c r="W8" s="18"/>
    </row>
    <row r="9" spans="2:36" ht="27.95" customHeight="1" x14ac:dyDescent="0.3">
      <c r="B9" s="61" t="str">
        <f>"First Contract: "&amp;RTD("cqg.rtd", ,"ContractData",$B$6, "LongDescription")</f>
        <v>First Contract: 10yr US Treasury Notes (Globex), Mar 16</v>
      </c>
      <c r="C9" s="62"/>
      <c r="D9" s="62"/>
      <c r="E9" s="62"/>
      <c r="F9" s="62"/>
      <c r="G9" s="62"/>
      <c r="H9" s="63"/>
      <c r="I9" s="67" t="str">
        <f>RTD("cqg.rtd", ,"ContractData",$B$6, "Symbol")</f>
        <v>TYAH6</v>
      </c>
      <c r="J9" s="68"/>
      <c r="K9" s="68"/>
      <c r="L9" s="61" t="s">
        <v>25</v>
      </c>
      <c r="M9" s="62"/>
      <c r="N9" s="63"/>
      <c r="O9" s="67" t="str">
        <f>RTD("cqg.rtd", ,"ContractData",$O$6, "Symbol")</f>
        <v>TYAM6</v>
      </c>
      <c r="P9" s="68"/>
      <c r="Q9" s="76"/>
      <c r="R9" s="61" t="str">
        <f>"First Contract: "&amp;RTD("cqg.rtd", ,"ContractData",$B$6, "LongDescription")</f>
        <v>First Contract: 10yr US Treasury Notes (Globex), Mar 16</v>
      </c>
      <c r="S9" s="62"/>
      <c r="T9" s="62"/>
      <c r="U9" s="62"/>
      <c r="V9" s="62"/>
      <c r="W9" s="62"/>
      <c r="X9" s="63"/>
      <c r="Y9" s="17"/>
    </row>
    <row r="10" spans="2:36" ht="27.95" customHeight="1" x14ac:dyDescent="0.3">
      <c r="B10" s="64" t="str">
        <f>"Second Contract: "&amp;RTD("cqg.rtd", ,"ContractData",$O$6, "LongDescription")</f>
        <v>Second Contract: 10yr US Treasury Notes (Globex), Jun 16</v>
      </c>
      <c r="C10" s="65"/>
      <c r="D10" s="65"/>
      <c r="E10" s="65"/>
      <c r="F10" s="65"/>
      <c r="G10" s="65"/>
      <c r="H10" s="66"/>
      <c r="I10" s="58" t="s">
        <v>6</v>
      </c>
      <c r="J10" s="59"/>
      <c r="K10" s="60"/>
      <c r="L10" s="87" t="s">
        <v>26</v>
      </c>
      <c r="M10" s="88"/>
      <c r="N10" s="89"/>
      <c r="O10" s="58" t="s">
        <v>6</v>
      </c>
      <c r="P10" s="59"/>
      <c r="Q10" s="60"/>
      <c r="R10" s="64" t="str">
        <f>"Second Contract: "&amp;RTD("cqg.rtd", ,"ContractData",$O$6, "LongDescription")</f>
        <v>Second Contract: 10yr US Treasury Notes (Globex), Jun 16</v>
      </c>
      <c r="S10" s="65"/>
      <c r="T10" s="65"/>
      <c r="U10" s="65"/>
      <c r="V10" s="65"/>
      <c r="W10" s="65"/>
      <c r="X10" s="66"/>
      <c r="Y10" s="16"/>
      <c r="Z10" s="7"/>
    </row>
    <row r="11" spans="2:36" ht="21" customHeight="1" x14ac:dyDescent="0.3">
      <c r="B11" s="30"/>
      <c r="C11" s="31"/>
      <c r="D11" s="34"/>
      <c r="E11" s="38"/>
      <c r="F11" s="38"/>
      <c r="G11" s="39"/>
      <c r="H11" s="14"/>
      <c r="I11" s="13">
        <f>J11</f>
        <v>1463</v>
      </c>
      <c r="J11" s="10">
        <f>RTD("cqg.rtd",,"DOMData",$B$6,"Volume","5","T")</f>
        <v>1463</v>
      </c>
      <c r="K11" s="9">
        <f>RTD("cqg.rtd",,"DOMData",$B$6,"Price","5")</f>
        <v>131005</v>
      </c>
      <c r="L11" s="29"/>
      <c r="M11" s="41">
        <f>IF(ISERROR(P11-J11),"",P11-J11)</f>
        <v>-1102</v>
      </c>
      <c r="N11" s="28"/>
      <c r="O11" s="52">
        <f>RTD("cqg.rtd",,"DOMData",$O$6,"Price","5")</f>
        <v>130210</v>
      </c>
      <c r="P11" s="10">
        <f>RTD("cqg.rtd",,"DOMData",$O$6,"Volume","5","T")</f>
        <v>361</v>
      </c>
      <c r="Q11" s="43">
        <f>IF(P11="","",P11*-1)</f>
        <v>-361</v>
      </c>
      <c r="Y11" s="8"/>
      <c r="Z11" s="7"/>
      <c r="AA11" s="2">
        <f>RTD("cqg.rtd",,"StudyData",$O$6, "Vol", "VolType=auto,CoCType=Contract", "Vol","D","0","ALL",,,"TRUE","T")</f>
        <v>26247</v>
      </c>
      <c r="AB11" s="2">
        <f>RTD("cqg.rtd",,"StudyData",$B$6, "Vol", "VolType=auto,CoCType=Contract", "Vol","D","0","ALL",,,"TRUE","T")</f>
        <v>1103532</v>
      </c>
      <c r="AC11" s="2" t="s">
        <v>5</v>
      </c>
      <c r="AD11" s="2" t="e">
        <f>IF(RTD("cqg.rtd",,"StudyData",$B$6,"VolOI","OIType=Contract","OI","D","-1","all",,,,"T")="",NA(),RTD("cqg.rtd",,"StudyData",$B$6,"VolOI","OIType=Contract","OI","D","-1","all",,,,"T"))</f>
        <v>#N/A</v>
      </c>
      <c r="AE11" s="2" t="e">
        <f>IF(RTD("cqg.rtd",,"StudyData",$O$6,"VolOI","OIType=Contract","OI","D","-1","all",,,,"T")="",NA(),RTD("cqg.rtd",,"StudyData",$O$6,"VolOI","OIType=Contract","OI","D","-1","all",,,,"T"))</f>
        <v>#N/A</v>
      </c>
      <c r="AF11" s="2" t="s">
        <v>4</v>
      </c>
    </row>
    <row r="12" spans="2:36" ht="21" customHeight="1" x14ac:dyDescent="0.3">
      <c r="B12" s="8"/>
      <c r="C12" s="3"/>
      <c r="D12" s="35"/>
      <c r="E12" s="7"/>
      <c r="F12" s="7"/>
      <c r="G12" s="7"/>
      <c r="H12" s="7"/>
      <c r="I12" s="12">
        <f>J12</f>
        <v>2088</v>
      </c>
      <c r="J12" s="10">
        <f>RTD("cqg.rtd",,"DOMData",$B$6,"Volume","4","T")</f>
        <v>2088</v>
      </c>
      <c r="K12" s="9">
        <f>RTD("cqg.rtd",,"DOMData",$B$6,"Price","4")</f>
        <v>131000</v>
      </c>
      <c r="L12" s="8"/>
      <c r="M12" s="42">
        <f t="shared" ref="M12:M15" si="0">IF(ISERROR(P12-J12),"",P12-J12)</f>
        <v>-1616</v>
      </c>
      <c r="N12" s="28"/>
      <c r="O12" s="52">
        <f>RTD("cqg.rtd",,"DOMData",$O$6,"Price","4")</f>
        <v>130205</v>
      </c>
      <c r="P12" s="10">
        <f>RTD("cqg.rtd",,"DOMData",$O$6,"Volume","4","T")</f>
        <v>472</v>
      </c>
      <c r="Q12" s="43">
        <f t="shared" ref="Q12:Q21" si="1">IF(P12="","",P12*-1)</f>
        <v>-472</v>
      </c>
      <c r="Y12" s="8"/>
      <c r="Z12" s="7"/>
      <c r="AA12" s="2">
        <f>RTD("cqg.rtd",,"StudyData",$O$6, "Vol", "VolType=auto,CoCType=Contract", "Vol","D","-1","ALL",,,"TRUE","T")</f>
        <v>38481</v>
      </c>
      <c r="AB12" s="2">
        <f>RTD("cqg.rtd",,"StudyData",$B$6, "Vol", "VolType=auto,CoCType=Contract", "Vol","D","-1","ALL",,,"TRUE","T")</f>
        <v>1727313</v>
      </c>
      <c r="AC12" s="2">
        <v>-1</v>
      </c>
      <c r="AD12" s="2">
        <f>IF(RTD("cqg.rtd",,"StudyData",$B$6,"VolOI","OIType=Contract","OI","D",AF12,"all",,,,"T")="",NA(),RTD("cqg.rtd",,"StudyData",$B$6,"VolOI","OIType=Contract","OI","D",AF12,"all",,,,"T"))</f>
        <v>2969999</v>
      </c>
      <c r="AE12" s="2">
        <f>IF(RTD("cqg.rtd",,"StudyData",$O$6,"VolOI","OIType=Contract","OI","D",AF12,"all",,,,"T")="",NA(),RTD("cqg.rtd",,"StudyData",$O$6,"VolOI","OIType=Contract","OI","D",AF12,"all",,,,"T"))</f>
        <v>163241</v>
      </c>
      <c r="AF12" s="2">
        <v>-2</v>
      </c>
    </row>
    <row r="13" spans="2:36" ht="21" customHeight="1" x14ac:dyDescent="0.3">
      <c r="B13" s="8"/>
      <c r="C13" s="3"/>
      <c r="D13" s="35"/>
      <c r="E13" s="7"/>
      <c r="F13" s="7"/>
      <c r="G13" s="7"/>
      <c r="H13" s="7"/>
      <c r="I13" s="12">
        <f>J13</f>
        <v>2497</v>
      </c>
      <c r="J13" s="10">
        <f>RTD("cqg.rtd",,"DOMData",$B$6,"Volume","3","T")</f>
        <v>2497</v>
      </c>
      <c r="K13" s="9">
        <f>RTD("cqg.rtd",,"DOMData",$B$6,"Price","3")</f>
        <v>130315</v>
      </c>
      <c r="L13" s="8"/>
      <c r="M13" s="42">
        <f t="shared" si="0"/>
        <v>-2080</v>
      </c>
      <c r="N13" s="28"/>
      <c r="O13" s="52">
        <f>RTD("cqg.rtd",,"DOMData",$O$6,"Price","3")</f>
        <v>130200</v>
      </c>
      <c r="P13" s="10">
        <f>RTD("cqg.rtd",,"DOMData",$O$6,"Volume","3","T")</f>
        <v>417</v>
      </c>
      <c r="Q13" s="43">
        <f t="shared" si="1"/>
        <v>-417</v>
      </c>
      <c r="Y13" s="8"/>
      <c r="Z13" s="7"/>
      <c r="AA13" s="2">
        <f>RTD("cqg.rtd",,"StudyData",$O$6, "Vol", "VolType=auto,CoCType=Contract", "Vol","D","-2","ALL",,,"TRUE","T")</f>
        <v>48375</v>
      </c>
      <c r="AB13" s="2">
        <f>RTD("cqg.rtd",,"StudyData",$B$6, "Vol", "VolType=auto,CoCType=Contract", "Vol","D","-2","ALL",,,"TRUE","T")</f>
        <v>2468876</v>
      </c>
      <c r="AC13" s="2">
        <v>-2</v>
      </c>
      <c r="AD13" s="2">
        <f>IF(RTD("cqg.rtd",,"StudyData",$B$6,"VolOI","OIType=Contract","OI","D",AF13,"all",,,,"T")="",NA(),RTD("cqg.rtd",,"StudyData",$B$6,"VolOI","OIType=Contract","OI","D",AF13,"all",,,,"T"))</f>
        <v>2933408</v>
      </c>
      <c r="AE13" s="2">
        <f>IF(RTD("cqg.rtd",,"StudyData",$O$6,"VolOI","OIType=Contract","OI","D",AF13,"all",,,,"T")="",NA(),RTD("cqg.rtd",,"StudyData",$O$6,"VolOI","OIType=Contract","OI","D",AF13,"all",,,,"T"))</f>
        <v>124715</v>
      </c>
      <c r="AF13" s="2">
        <v>-3</v>
      </c>
    </row>
    <row r="14" spans="2:36" ht="21" customHeight="1" x14ac:dyDescent="0.3">
      <c r="B14" s="8"/>
      <c r="C14" s="3"/>
      <c r="D14" s="35"/>
      <c r="E14" s="7"/>
      <c r="F14" s="7"/>
      <c r="G14" s="7"/>
      <c r="H14" s="7"/>
      <c r="I14" s="12">
        <f>J14</f>
        <v>1580</v>
      </c>
      <c r="J14" s="10">
        <f>RTD("cqg.rtd",,"DOMData",$B$6,"Volume","2","T")</f>
        <v>1580</v>
      </c>
      <c r="K14" s="9">
        <f>RTD("cqg.rtd",,"DOMData",$B$6,"Price","2")</f>
        <v>130310</v>
      </c>
      <c r="L14" s="8"/>
      <c r="M14" s="42">
        <f t="shared" si="0"/>
        <v>-1159</v>
      </c>
      <c r="N14" s="28"/>
      <c r="O14" s="52">
        <f>RTD("cqg.rtd",,"DOMData",$O$6,"Price","2")</f>
        <v>130195</v>
      </c>
      <c r="P14" s="10">
        <f>RTD("cqg.rtd",,"DOMData",$O$6,"Volume","2","T")</f>
        <v>421</v>
      </c>
      <c r="Q14" s="43">
        <f t="shared" si="1"/>
        <v>-421</v>
      </c>
      <c r="Y14" s="8"/>
      <c r="Z14" s="7"/>
      <c r="AA14" s="2">
        <f>RTD("cqg.rtd",,"StudyData",$O$6, "Vol", "VolType=auto,CoCType=Contract", "Vol","D","-3","ALL",,,"TRUE","T")</f>
        <v>41849</v>
      </c>
      <c r="AB14" s="2">
        <f>RTD("cqg.rtd",,"StudyData",$B$6, "Vol", "VolType=auto,CoCType=Contract", "Vol","D","-3","ALL",,,"TRUE","T")</f>
        <v>1781823</v>
      </c>
      <c r="AC14" s="2">
        <v>-3</v>
      </c>
      <c r="AD14" s="2">
        <f>IF(RTD("cqg.rtd",,"StudyData",$B$6,"VolOI","OIType=Contract","OI","D",AF14,"all",,,,"T")="",NA(),RTD("cqg.rtd",,"StudyData",$B$6,"VolOI","OIType=Contract","OI","D",AF14,"all",,,,"T"))</f>
        <v>2923228</v>
      </c>
      <c r="AE14" s="2">
        <f>IF(RTD("cqg.rtd",,"StudyData",$O$6,"VolOI","OIType=Contract","OI","D",AF14,"all",,,,"T")="",NA(),RTD("cqg.rtd",,"StudyData",$O$6,"VolOI","OIType=Contract","OI","D",AF14,"all",,,,"T"))</f>
        <v>110882</v>
      </c>
      <c r="AF14" s="2">
        <v>-4</v>
      </c>
    </row>
    <row r="15" spans="2:36" ht="21" customHeight="1" x14ac:dyDescent="0.3">
      <c r="B15" s="8"/>
      <c r="C15" s="3"/>
      <c r="D15" s="35"/>
      <c r="E15" s="7"/>
      <c r="F15" s="7"/>
      <c r="G15" s="7"/>
      <c r="H15" s="7"/>
      <c r="I15" s="12">
        <f>J15</f>
        <v>298</v>
      </c>
      <c r="J15" s="10">
        <f>RTD("cqg.rtd",,"DOMData",$B$6,"Volume","1","T")</f>
        <v>298</v>
      </c>
      <c r="K15" s="9">
        <f>RTD("cqg.rtd",,"DOMData",$B$6,"Price","1")</f>
        <v>130305</v>
      </c>
      <c r="L15" s="8"/>
      <c r="M15" s="42">
        <f t="shared" si="0"/>
        <v>91</v>
      </c>
      <c r="N15" s="28"/>
      <c r="O15" s="52">
        <f>RTD("cqg.rtd",,"DOMData",$O$6,"Price","1")</f>
        <v>130190</v>
      </c>
      <c r="P15" s="10">
        <f>RTD("cqg.rtd",,"DOMData",$O$6,"Volume","1","T")</f>
        <v>389</v>
      </c>
      <c r="Q15" s="43">
        <f t="shared" si="1"/>
        <v>-389</v>
      </c>
      <c r="Y15" s="8"/>
      <c r="Z15" s="7"/>
      <c r="AA15" s="2">
        <f>RTD("cqg.rtd",,"StudyData",$O$6, "Vol", "VolType=auto,CoCType=Contract", "Vol","D","-4","ALL",,,"TRUE","T")</f>
        <v>43446</v>
      </c>
      <c r="AB15" s="2">
        <f>RTD("cqg.rtd",,"StudyData",$B$6, "Vol", "VolType=auto,CoCType=Contract", "Vol","D","-4","ALL",,,"TRUE","T")</f>
        <v>1993045</v>
      </c>
      <c r="AC15" s="2">
        <v>-4</v>
      </c>
      <c r="AD15" s="2">
        <f>IF(RTD("cqg.rtd",,"StudyData",$B$6,"VolOI","OIType=Contract","OI","D",AF15,"all",,,,"T")="",NA(),RTD("cqg.rtd",,"StudyData",$B$6,"VolOI","OIType=Contract","OI","D",AF15,"all",,,,"T"))</f>
        <v>2932255</v>
      </c>
      <c r="AE15" s="2">
        <f>IF(RTD("cqg.rtd",,"StudyData",$O$6,"VolOI","OIType=Contract","OI","D",AF15,"all",,,,"T")="",NA(),RTD("cqg.rtd",,"StudyData",$O$6,"VolOI","OIType=Contract","OI","D",AF15,"all",,,,"T"))</f>
        <v>91545</v>
      </c>
      <c r="AF15" s="2">
        <v>-5</v>
      </c>
    </row>
    <row r="16" spans="2:36" ht="21" customHeight="1" x14ac:dyDescent="0.3">
      <c r="B16" s="90"/>
      <c r="C16" s="91"/>
      <c r="D16" s="36"/>
      <c r="E16" s="7"/>
      <c r="F16" s="7"/>
      <c r="G16" s="7"/>
      <c r="H16" s="7"/>
      <c r="I16" s="77" t="s">
        <v>3</v>
      </c>
      <c r="J16" s="78"/>
      <c r="K16" s="51">
        <f>RTD("cqg.rtd",,"ContractData",B6,"LastTradeorSettle",,"D")</f>
        <v>130300</v>
      </c>
      <c r="L16" s="8"/>
      <c r="M16" s="53">
        <f>RTD("cqg.rtd",,"ContractData",O6,"MT_LastTradeOrSettlementVolume")-RTD("cqg.rtd",,"ContractData",B6,"MT_LastTradeOrSettlementVolume")</f>
        <v>-1</v>
      </c>
      <c r="N16" s="28"/>
      <c r="O16" s="49">
        <f>RTD("cqg.rtd",,"ContractData",O6,"LastTradeorSettle",,"D")</f>
        <v>130180</v>
      </c>
      <c r="P16" s="79" t="s">
        <v>3</v>
      </c>
      <c r="Q16" s="80"/>
      <c r="Y16" s="8"/>
      <c r="Z16" s="7"/>
      <c r="AA16" s="2">
        <f>RTD("cqg.rtd",,"StudyData",$O$6, "Vol", "VolType=auto,CoCType=Contract", "Vol","D","-5","ALL",,,"TRUE","T")</f>
        <v>13968</v>
      </c>
      <c r="AB16" s="2">
        <f>RTD("cqg.rtd",,"StudyData",$B$6, "Vol", "VolType=auto,CoCType=Contract", "Vol","D","-5","ALL",,,"TRUE","T")</f>
        <v>1675081</v>
      </c>
      <c r="AC16" s="2">
        <v>-5</v>
      </c>
      <c r="AD16" s="2">
        <f>IF(RTD("cqg.rtd",,"StudyData",$B$6,"VolOI","OIType=Contract","OI","D",AF16,"all",,,,"T")="",NA(),RTD("cqg.rtd",,"StudyData",$B$6,"VolOI","OIType=Contract","OI","D",AF16,"all",,,,"T"))</f>
        <v>2929461</v>
      </c>
      <c r="AE16" s="2">
        <f>IF(RTD("cqg.rtd",,"StudyData",$O$6,"VolOI","OIType=Contract","OI","D",AF16,"all",,,,"T")="",NA(),RTD("cqg.rtd",,"StudyData",$O$6,"VolOI","OIType=Contract","OI","D",AF16,"all",,,,"T"))</f>
        <v>87974</v>
      </c>
      <c r="AF16" s="2">
        <v>-6</v>
      </c>
    </row>
    <row r="17" spans="2:32" ht="21" customHeight="1" x14ac:dyDescent="0.3">
      <c r="B17" s="8"/>
      <c r="C17" s="3"/>
      <c r="D17" s="35"/>
      <c r="E17" s="7"/>
      <c r="F17" s="7"/>
      <c r="G17" s="7"/>
      <c r="H17" s="7"/>
      <c r="I17" s="12">
        <f>J17</f>
        <v>1921</v>
      </c>
      <c r="J17" s="10">
        <f>RTD("cqg.rtd",,"DOMData",$B$6,"Volume","-1","T")</f>
        <v>1921</v>
      </c>
      <c r="K17" s="9">
        <f>RTD("cqg.rtd",,"DOMData",$B$6,"Price","-1")</f>
        <v>130300</v>
      </c>
      <c r="L17" s="8"/>
      <c r="M17" s="42">
        <f>IF(ISERROR(P17-J17),"",P17-J17)</f>
        <v>-1770</v>
      </c>
      <c r="N17" s="28"/>
      <c r="O17" s="52">
        <f>RTD("cqg.rtd",,"DOMData",$B$6,"Price","-1")</f>
        <v>130300</v>
      </c>
      <c r="P17" s="10">
        <f>RTD("cqg.rtd",,"DOMData",$O$6,"Volume","-1","T")</f>
        <v>151</v>
      </c>
      <c r="Q17" s="43">
        <f t="shared" si="1"/>
        <v>-151</v>
      </c>
      <c r="Y17" s="8"/>
      <c r="Z17" s="7"/>
      <c r="AA17" s="2">
        <f>RTD("cqg.rtd",,"StudyData",$O$6, "Vol", "VolType=auto,CoCType=Contract", "Vol","D","-6","ALL",,,"TRUE","T")</f>
        <v>11200</v>
      </c>
      <c r="AB17" s="2">
        <f>RTD("cqg.rtd",,"StudyData",$B$6, "Vol", "VolType=auto,CoCType=Contract", "Vol","D","-6","ALL",,,"TRUE","T")</f>
        <v>1837286</v>
      </c>
      <c r="AC17" s="2">
        <v>-6</v>
      </c>
      <c r="AD17" s="2">
        <f>IF(RTD("cqg.rtd",,"StudyData",$B$6,"VolOI","OIType=Contract","OI","D",AF17,"all",,,,"T")="",NA(),RTD("cqg.rtd",,"StudyData",$B$6,"VolOI","OIType=Contract","OI","D",AF17,"all",,,,"T"))</f>
        <v>2941404</v>
      </c>
      <c r="AE17" s="2">
        <f>IF(RTD("cqg.rtd",,"StudyData",$O$6,"VolOI","OIType=Contract","OI","D",AF17,"all",,,,"T")="",NA(),RTD("cqg.rtd",,"StudyData",$O$6,"VolOI","OIType=Contract","OI","D",AF17,"all",,,,"T"))</f>
        <v>83638</v>
      </c>
      <c r="AF17" s="2">
        <v>-7</v>
      </c>
    </row>
    <row r="18" spans="2:32" ht="21" customHeight="1" x14ac:dyDescent="0.3">
      <c r="B18" s="8"/>
      <c r="C18" s="3"/>
      <c r="D18" s="35"/>
      <c r="E18" s="7"/>
      <c r="F18" s="7"/>
      <c r="G18" s="7"/>
      <c r="H18" s="7"/>
      <c r="I18" s="12">
        <f>J18</f>
        <v>1701</v>
      </c>
      <c r="J18" s="10">
        <f>RTD("cqg.rtd",,"DOMData",$B$6,"Volume","-2","T")</f>
        <v>1701</v>
      </c>
      <c r="K18" s="9">
        <f>RTD("cqg.rtd",,"DOMData",$B$6,"Price","-2")</f>
        <v>130295</v>
      </c>
      <c r="L18" s="8"/>
      <c r="M18" s="42">
        <f t="shared" ref="M18:M20" si="2">IF(ISERROR(P18-J18),"",P18-J18)</f>
        <v>-1280</v>
      </c>
      <c r="N18" s="28"/>
      <c r="O18" s="52">
        <f>RTD("cqg.rtd",,"DOMData",$B$6,"Price","-2")</f>
        <v>130295</v>
      </c>
      <c r="P18" s="10">
        <f>RTD("cqg.rtd",,"DOMData",$O$6,"Volume","-2","T")</f>
        <v>421</v>
      </c>
      <c r="Q18" s="43">
        <f t="shared" si="1"/>
        <v>-421</v>
      </c>
      <c r="Y18" s="8"/>
      <c r="Z18" s="7"/>
      <c r="AA18" s="2">
        <f>RTD("cqg.rtd",,"StudyData",$O$6, "Vol", "VolType=auto,CoCType=Contract", "Vol","D","-7","ALL",,,"TRUE","T")</f>
        <v>18087</v>
      </c>
      <c r="AB18" s="2">
        <f>RTD("cqg.rtd",,"StudyData",$B$6, "Vol", "VolType=auto,CoCType=Contract", "Vol","D","-7","ALL",,,"TRUE","T")</f>
        <v>1708898</v>
      </c>
      <c r="AC18" s="2">
        <v>-7</v>
      </c>
      <c r="AD18" s="2">
        <f>IF(RTD("cqg.rtd",,"StudyData",$B$6,"VolOI","OIType=Contract","OI","D",AF18,"all",,,,"T")="",NA(),RTD("cqg.rtd",,"StudyData",$B$6,"VolOI","OIType=Contract","OI","D",AF18,"all",,,,"T"))</f>
        <v>2913524</v>
      </c>
      <c r="AE18" s="2">
        <f>IF(RTD("cqg.rtd",,"StudyData",$O$6,"VolOI","OIType=Contract","OI","D",AF18,"all",,,,"T")="",NA(),RTD("cqg.rtd",,"StudyData",$O$6,"VolOI","OIType=Contract","OI","D",AF18,"all",,,,"T"))</f>
        <v>78189</v>
      </c>
      <c r="AF18" s="2">
        <v>-8</v>
      </c>
    </row>
    <row r="19" spans="2:32" ht="21" customHeight="1" x14ac:dyDescent="0.3">
      <c r="B19" s="8"/>
      <c r="C19" s="3"/>
      <c r="D19" s="35"/>
      <c r="E19" s="7"/>
      <c r="F19" s="7"/>
      <c r="G19" s="7"/>
      <c r="H19" s="7"/>
      <c r="I19" s="12">
        <f>J19</f>
        <v>1754</v>
      </c>
      <c r="J19" s="10">
        <f>RTD("cqg.rtd",,"DOMData",$B$6,"Volume","-3","T")</f>
        <v>1754</v>
      </c>
      <c r="K19" s="9">
        <f>RTD("cqg.rtd",,"DOMData",$B$6,"Price","-3")</f>
        <v>130290</v>
      </c>
      <c r="L19" s="8"/>
      <c r="M19" s="42">
        <f t="shared" si="2"/>
        <v>-1333</v>
      </c>
      <c r="N19" s="28"/>
      <c r="O19" s="52">
        <f>RTD("cqg.rtd",,"DOMData",$B$6,"Price","-3")</f>
        <v>130290</v>
      </c>
      <c r="P19" s="10">
        <f>RTD("cqg.rtd",,"DOMData",$O$6,"Volume","-3","T")</f>
        <v>421</v>
      </c>
      <c r="Q19" s="43">
        <f t="shared" si="1"/>
        <v>-421</v>
      </c>
      <c r="Y19" s="8"/>
      <c r="Z19" s="7"/>
      <c r="AA19" s="2">
        <f>RTD("cqg.rtd",,"StudyData",$O$6, "Vol", "VolType=auto,CoCType=Contract", "Vol","D","-8","ALL",,,"TRUE","T")</f>
        <v>19958</v>
      </c>
      <c r="AB19" s="2">
        <f>RTD("cqg.rtd",,"StudyData",$B$6, "Vol", "VolType=auto,CoCType=Contract", "Vol","D","-8","ALL",,,"TRUE","T")</f>
        <v>1998839</v>
      </c>
      <c r="AC19" s="2">
        <v>-8</v>
      </c>
      <c r="AD19" s="2">
        <f>IF(RTD("cqg.rtd",,"StudyData",$B$6,"VolOI","OIType=Contract","OI","D",AF19,"all",,,,"T")="",NA(),RTD("cqg.rtd",,"StudyData",$B$6,"VolOI","OIType=Contract","OI","D",AF19,"all",,,,"T"))</f>
        <v>2913247</v>
      </c>
      <c r="AE19" s="2">
        <f>IF(RTD("cqg.rtd",,"StudyData",$O$6,"VolOI","OIType=Contract","OI","D",AF19,"all",,,,"T")="",NA(),RTD("cqg.rtd",,"StudyData",$O$6,"VolOI","OIType=Contract","OI","D",AF19,"all",,,,"T"))</f>
        <v>71249</v>
      </c>
      <c r="AF19" s="2">
        <v>-9</v>
      </c>
    </row>
    <row r="20" spans="2:32" ht="21" customHeight="1" x14ac:dyDescent="0.3">
      <c r="B20" s="8"/>
      <c r="C20" s="3"/>
      <c r="D20" s="35"/>
      <c r="E20" s="7"/>
      <c r="F20" s="7"/>
      <c r="G20" s="7"/>
      <c r="H20" s="7"/>
      <c r="I20" s="12">
        <f>J20</f>
        <v>1725</v>
      </c>
      <c r="J20" s="10">
        <f>RTD("cqg.rtd",,"DOMData",$B$6,"Volume","-4","T")</f>
        <v>1725</v>
      </c>
      <c r="K20" s="9">
        <f>RTD("cqg.rtd",,"DOMData",$B$6,"Price","-4")</f>
        <v>130285</v>
      </c>
      <c r="L20" s="8"/>
      <c r="M20" s="42">
        <f t="shared" si="2"/>
        <v>-1193</v>
      </c>
      <c r="N20" s="28"/>
      <c r="O20" s="52">
        <f>RTD("cqg.rtd",,"DOMData",$B$6,"Price","-4")</f>
        <v>130285</v>
      </c>
      <c r="P20" s="10">
        <f>RTD("cqg.rtd",,"DOMData",$O$6,"Volume","-4","T")</f>
        <v>532</v>
      </c>
      <c r="Q20" s="43">
        <f t="shared" si="1"/>
        <v>-532</v>
      </c>
      <c r="Y20" s="8"/>
      <c r="Z20" s="7"/>
      <c r="AA20" s="2">
        <f>RTD("cqg.rtd",,"StudyData",$O$6, "Vol", "VolType=auto,CoCType=Contract", "Vol","D","-9","ALL",,,"TRUE","T")</f>
        <v>23627</v>
      </c>
      <c r="AB20" s="2">
        <f>RTD("cqg.rtd",,"StudyData",$B$6, "Vol", "VolType=auto,CoCType=Contract", "Vol","D","-9","ALL",,,"TRUE","T")</f>
        <v>1420462</v>
      </c>
      <c r="AC20" s="2">
        <v>-9</v>
      </c>
      <c r="AD20" s="2">
        <f>IF(RTD("cqg.rtd",,"StudyData",$B$6,"VolOI","OIType=Contract","OI","D",AF20,"all",,,,"T")="",NA(),RTD("cqg.rtd",,"StudyData",$B$6,"VolOI","OIType=Contract","OI","D",AF20,"all",,,,"T"))</f>
        <v>2869462</v>
      </c>
      <c r="AE20" s="2">
        <f>IF(RTD("cqg.rtd",,"StudyData",$O$6,"VolOI","OIType=Contract","OI","D",AF20,"all",,,,"T")="",NA(),RTD("cqg.rtd",,"StudyData",$O$6,"VolOI","OIType=Contract","OI","D",AF20,"all",,,,"T"))</f>
        <v>55190</v>
      </c>
      <c r="AF20" s="2">
        <v>-10</v>
      </c>
    </row>
    <row r="21" spans="2:32" ht="21" customHeight="1" x14ac:dyDescent="0.3">
      <c r="B21" s="32"/>
      <c r="C21" s="33"/>
      <c r="D21" s="37"/>
      <c r="E21" s="40"/>
      <c r="F21" s="40"/>
      <c r="G21" s="40"/>
      <c r="H21" s="7"/>
      <c r="I21" s="11">
        <f>J21</f>
        <v>1463</v>
      </c>
      <c r="J21" s="10">
        <f>RTD("cqg.rtd",,"DOMData",$B$6,"Volume","5","T")</f>
        <v>1463</v>
      </c>
      <c r="K21" s="9">
        <f>RTD("cqg.rtd",,"DOMData",$B$6,"Price","-5")</f>
        <v>130280</v>
      </c>
      <c r="L21" s="8"/>
      <c r="M21" s="42">
        <f>IF(ISERROR(P21-J21),"",P21-J21)</f>
        <v>-1102</v>
      </c>
      <c r="N21" s="28"/>
      <c r="O21" s="52">
        <f>RTD("cqg.rtd",,"DOMData",$B$6,"Price","-5")</f>
        <v>130280</v>
      </c>
      <c r="P21" s="10">
        <f>RTD("cqg.rtd",,"DOMData",$O$6,"Volume","5","T")</f>
        <v>361</v>
      </c>
      <c r="Q21" s="43">
        <f t="shared" si="1"/>
        <v>-361</v>
      </c>
      <c r="Y21" s="8"/>
      <c r="Z21" s="7"/>
      <c r="AA21" s="2">
        <f>RTD("cqg.rtd",,"StudyData",$O$6, "Vol", "VolType=auto,CoCType=Contract", "Vol","D","-10","ALL",,,"TRUE","T")</f>
        <v>6347</v>
      </c>
      <c r="AB21" s="2">
        <f>RTD("cqg.rtd",,"StudyData",$B$6, "Vol", "VolType=auto,CoCType=Contract", "Vol","D","-10","ALL",,,"TRUE","T")</f>
        <v>1229545</v>
      </c>
      <c r="AC21" s="2">
        <v>-10</v>
      </c>
      <c r="AD21" s="2">
        <f>IF(RTD("cqg.rtd",,"StudyData",$B$6,"VolOI","OIType=Contract","OI","D",AF21,"all",,,,"T")="",NA(),RTD("cqg.rtd",,"StudyData",$B$6,"VolOI","OIType=Contract","OI","D",AF21,"all",,,,"T"))</f>
        <v>2910237</v>
      </c>
      <c r="AE21" s="2">
        <f>IF(RTD("cqg.rtd",,"StudyData",$O$6,"VolOI","OIType=Contract","OI","D",AF21,"all",,,,"T")="",NA(),RTD("cqg.rtd",,"StudyData",$O$6,"VolOI","OIType=Contract","OI","D",AF21,"all",,,,"T"))</f>
        <v>52539</v>
      </c>
      <c r="AF21" s="2">
        <v>-11</v>
      </c>
    </row>
    <row r="22" spans="2:32" ht="9.9499999999999993" customHeight="1" x14ac:dyDescent="0.3">
      <c r="E22" s="25"/>
      <c r="F22" s="25"/>
      <c r="G22" s="25"/>
      <c r="H22" s="25"/>
      <c r="I22" s="25"/>
      <c r="J22" s="25"/>
      <c r="K22" s="25"/>
      <c r="L22" s="7"/>
      <c r="M22" s="7"/>
      <c r="Q22" s="25"/>
      <c r="R22" s="25"/>
      <c r="S22" s="25"/>
      <c r="T22" s="25"/>
      <c r="U22" s="25"/>
      <c r="V22" s="25"/>
      <c r="W22" s="25"/>
      <c r="X22" s="25"/>
      <c r="Z22" s="2"/>
      <c r="AA22" s="2"/>
      <c r="AB22" s="2"/>
      <c r="AC22" s="2"/>
    </row>
    <row r="23" spans="2:32" ht="20.100000000000001" customHeight="1" x14ac:dyDescent="0.3">
      <c r="B23" s="69" t="s">
        <v>20</v>
      </c>
      <c r="C23" s="70"/>
      <c r="D23" s="70"/>
      <c r="E23" s="70"/>
      <c r="F23" s="75">
        <f>IF(RTD("cqg.rtd",,"ContractData",B25,"FirstNoticeDate",,"D")=2,"Cash Settlement",RTD("cqg.rtd",,"ContractData",B25,"FirstNoticeDate",,"D"))</f>
        <v>42429</v>
      </c>
      <c r="G23" s="75"/>
      <c r="H23" s="70" t="s">
        <v>18</v>
      </c>
      <c r="I23" s="70"/>
      <c r="J23" s="75">
        <f>RTD("cqg.rtd",,"ContractData",B25,"ExpirationDate",,"D")</f>
        <v>42451</v>
      </c>
      <c r="K23" s="75"/>
      <c r="L23" s="54"/>
      <c r="M23" s="54"/>
      <c r="N23" s="55"/>
      <c r="O23" s="70" t="s">
        <v>19</v>
      </c>
      <c r="P23" s="70"/>
      <c r="Q23" s="70"/>
      <c r="R23" s="70"/>
      <c r="S23" s="75">
        <f>IF(RTD("cqg.rtd",,"ContractData",O25,"FirstNoticeDate",,"D")=2,"Cash Settlement",RTD("cqg.rtd",,"ContractData",O25,"FirstNoticeDate",,"D"))</f>
        <v>42521</v>
      </c>
      <c r="T23" s="75"/>
      <c r="U23" s="70" t="s">
        <v>18</v>
      </c>
      <c r="V23" s="70"/>
      <c r="W23" s="75">
        <f>RTD("cqg.rtd",,"ContractData",O25,"ExpirationDate",,"D")</f>
        <v>42542</v>
      </c>
      <c r="X23" s="75"/>
      <c r="Y23" s="24"/>
      <c r="Z23" s="24"/>
      <c r="AA23" s="24"/>
      <c r="AB23" s="24"/>
      <c r="AC23" s="24"/>
      <c r="AD23" s="24"/>
      <c r="AE23" s="24"/>
    </row>
    <row r="24" spans="2:32" ht="20.100000000000001" customHeight="1" x14ac:dyDescent="0.3">
      <c r="B24" s="44" t="s">
        <v>16</v>
      </c>
      <c r="C24" s="44" t="s">
        <v>15</v>
      </c>
      <c r="D24" s="44" t="s">
        <v>14</v>
      </c>
      <c r="E24" s="44" t="s">
        <v>13</v>
      </c>
      <c r="F24" s="44" t="s">
        <v>12</v>
      </c>
      <c r="G24" s="44" t="s">
        <v>11</v>
      </c>
      <c r="H24" s="45" t="s">
        <v>10</v>
      </c>
      <c r="I24" s="44" t="s">
        <v>9</v>
      </c>
      <c r="J24" s="44" t="s">
        <v>8</v>
      </c>
      <c r="K24" s="45" t="s">
        <v>17</v>
      </c>
      <c r="L24" s="81" t="s">
        <v>23</v>
      </c>
      <c r="M24" s="82"/>
      <c r="N24" s="83"/>
      <c r="O24" s="44" t="s">
        <v>16</v>
      </c>
      <c r="P24" s="44" t="s">
        <v>15</v>
      </c>
      <c r="Q24" s="44" t="s">
        <v>14</v>
      </c>
      <c r="R24" s="44" t="s">
        <v>13</v>
      </c>
      <c r="S24" s="44" t="s">
        <v>12</v>
      </c>
      <c r="T24" s="44" t="s">
        <v>11</v>
      </c>
      <c r="U24" s="44" t="s">
        <v>10</v>
      </c>
      <c r="V24" s="44" t="s">
        <v>9</v>
      </c>
      <c r="W24" s="44" t="s">
        <v>8</v>
      </c>
      <c r="X24" s="44" t="s">
        <v>7</v>
      </c>
    </row>
    <row r="25" spans="2:32" ht="20.100000000000001" customHeight="1" x14ac:dyDescent="0.3">
      <c r="B25" s="46" t="s">
        <v>30</v>
      </c>
      <c r="C25" s="47" t="str">
        <f>RTD("cqg.rtd",,"ContractData",B25,"LastPrice",,"F")</f>
        <v>165210ú</v>
      </c>
      <c r="D25" s="47" t="str">
        <f>RTD("cqg.rtd",,"ContractData",B25,"NetChange",,"F")</f>
        <v>-260</v>
      </c>
      <c r="E25" s="47" t="str">
        <f>RTD("cqg.rtd",,"ContractData",B25,"Open",,"F")</f>
        <v>166100</v>
      </c>
      <c r="F25" s="47" t="str">
        <f>RTD("cqg.rtd",,"ContractData",B25,"High",,"F")</f>
        <v>166160</v>
      </c>
      <c r="G25" s="47" t="str">
        <f>RTD("cqg.rtd",,"ContractData",B25,"Low",,"F")</f>
        <v>165060</v>
      </c>
      <c r="H25" s="47">
        <f>RTD("cqg.rtd",,"ContractData",B25,"VolumeLastBid",,"F")</f>
        <v>167</v>
      </c>
      <c r="I25" s="47" t="str">
        <f>RTD("cqg.rtd",,"ContractData",B25,"Bid",,"F")</f>
        <v>165210</v>
      </c>
      <c r="J25" s="47" t="str">
        <f>RTD("cqg.rtd",,"ContractData",B25,"Ask",,"F")</f>
        <v>165220</v>
      </c>
      <c r="K25" s="47">
        <f>RTD("cqg.rtd",,"ContractData",B25,"VolumeLAstAsk",,"F")</f>
        <v>66</v>
      </c>
      <c r="L25" s="84" t="s">
        <v>24</v>
      </c>
      <c r="M25" s="85"/>
      <c r="N25" s="86"/>
      <c r="O25" s="48" t="s">
        <v>31</v>
      </c>
      <c r="P25" s="47" t="str">
        <f>RTD("cqg.rtd",,"ContractData",O25,"LastPrice",,"F")</f>
        <v>164120û</v>
      </c>
      <c r="Q25" s="47" t="str">
        <f>RTD("cqg.rtd",,"ContractData",O25,"NetChange",,"F")</f>
        <v>-240</v>
      </c>
      <c r="R25" s="47" t="str">
        <f>RTD("cqg.rtd",,"ContractData",O25,"Open",,"F")</f>
        <v>164270</v>
      </c>
      <c r="S25" s="47" t="str">
        <f>RTD("cqg.rtd",,"ContractData",O25,"High",,"F")</f>
        <v>165020</v>
      </c>
      <c r="T25" s="47" t="str">
        <f>RTD("cqg.rtd",,"ContractData",O25,"Low",,"F")</f>
        <v>163280</v>
      </c>
      <c r="U25" s="47">
        <f>RTD("cqg.rtd",,"ContractData",O25,"VolumeLastBid",,"F")</f>
        <v>86</v>
      </c>
      <c r="V25" s="47" t="str">
        <f>RTD("cqg.rtd",,"ContractData",O25,"Bid",,"F")</f>
        <v>164100</v>
      </c>
      <c r="W25" s="47" t="str">
        <f>RTD("cqg.rtd",,"ContractData",O25,"Ask",,"F")</f>
        <v>164120</v>
      </c>
      <c r="X25" s="47">
        <f>RTD("cqg.rtd",,"ContractData",O25,"VolumeLAstAsk",,"F")</f>
        <v>35</v>
      </c>
    </row>
    <row r="26" spans="2:32" ht="2.1" customHeight="1" x14ac:dyDescent="0.3">
      <c r="B26" s="23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2:32" ht="2.1" customHeight="1" x14ac:dyDescent="0.3">
      <c r="B27" s="22"/>
      <c r="C27" s="19"/>
      <c r="D27" s="19"/>
      <c r="E27" s="18"/>
      <c r="F27" s="18"/>
      <c r="G27" s="18"/>
      <c r="H27" s="18"/>
      <c r="I27" s="18"/>
      <c r="J27" s="18"/>
      <c r="K27" s="18"/>
      <c r="L27" s="18"/>
      <c r="M27" s="18"/>
      <c r="N27" s="21"/>
      <c r="O27" s="20"/>
      <c r="P27" s="19"/>
      <c r="Q27" s="19"/>
      <c r="R27" s="18"/>
      <c r="S27" s="18"/>
      <c r="T27" s="18"/>
      <c r="U27" s="18"/>
      <c r="V27" s="18"/>
      <c r="W27" s="18"/>
    </row>
    <row r="28" spans="2:32" ht="27.95" customHeight="1" x14ac:dyDescent="0.3">
      <c r="B28" s="61" t="str">
        <f>"First Contract: "&amp;RTD("cqg.rtd", ,"ContractData",$B$25, "LongDescription")</f>
        <v>First Contract: 30yr US Treasury Bonds (Globex), Mar 16</v>
      </c>
      <c r="C28" s="62"/>
      <c r="D28" s="62"/>
      <c r="E28" s="62"/>
      <c r="F28" s="62"/>
      <c r="G28" s="62"/>
      <c r="H28" s="63"/>
      <c r="I28" s="67" t="str">
        <f>RTD("cqg.rtd", ,"ContractData",$B$25, "Symbol")</f>
        <v>USAH6</v>
      </c>
      <c r="J28" s="68"/>
      <c r="K28" s="68"/>
      <c r="L28" s="61" t="s">
        <v>25</v>
      </c>
      <c r="M28" s="62"/>
      <c r="N28" s="63"/>
      <c r="O28" s="67" t="str">
        <f>RTD("cqg.rtd", ,"ContractData",$O$25, "Symbol")</f>
        <v>USAM6</v>
      </c>
      <c r="P28" s="68"/>
      <c r="Q28" s="76"/>
      <c r="R28" s="61" t="str">
        <f>"First Contract: "&amp;RTD("cqg.rtd", ,"ContractData",$B$25, "LongDescription")</f>
        <v>First Contract: 30yr US Treasury Bonds (Globex), Mar 16</v>
      </c>
      <c r="S28" s="62"/>
      <c r="T28" s="62"/>
      <c r="U28" s="62"/>
      <c r="V28" s="62"/>
      <c r="W28" s="62"/>
      <c r="X28" s="63"/>
      <c r="Y28" s="17"/>
    </row>
    <row r="29" spans="2:32" ht="27.95" customHeight="1" x14ac:dyDescent="0.3">
      <c r="B29" s="64" t="str">
        <f>"Second Contract: "&amp;RTD("cqg.rtd", ,"ContractData",$O$25, "LongDescription")</f>
        <v>Second Contract: 30yr US Treasury Bonds (Globex), Jun 16</v>
      </c>
      <c r="C29" s="65"/>
      <c r="D29" s="65"/>
      <c r="E29" s="65"/>
      <c r="F29" s="65"/>
      <c r="G29" s="65"/>
      <c r="H29" s="66"/>
      <c r="I29" s="58" t="s">
        <v>6</v>
      </c>
      <c r="J29" s="59"/>
      <c r="K29" s="60"/>
      <c r="L29" s="87" t="s">
        <v>26</v>
      </c>
      <c r="M29" s="88"/>
      <c r="N29" s="89"/>
      <c r="O29" s="58" t="s">
        <v>6</v>
      </c>
      <c r="P29" s="59"/>
      <c r="Q29" s="60"/>
      <c r="R29" s="64" t="str">
        <f>"Second Contract: "&amp;RTD("cqg.rtd", ,"ContractData",$O$25, "LongDescription")</f>
        <v>Second Contract: 30yr US Treasury Bonds (Globex), Jun 16</v>
      </c>
      <c r="S29" s="65"/>
      <c r="T29" s="65"/>
      <c r="U29" s="65"/>
      <c r="V29" s="65"/>
      <c r="W29" s="65"/>
      <c r="X29" s="66"/>
      <c r="Y29" s="16"/>
      <c r="Z29" s="7"/>
    </row>
    <row r="30" spans="2:32" ht="21" customHeight="1" x14ac:dyDescent="0.3">
      <c r="B30" s="30"/>
      <c r="C30" s="31"/>
      <c r="D30" s="34"/>
      <c r="E30" s="15"/>
      <c r="F30" s="15"/>
      <c r="G30" s="14"/>
      <c r="H30" s="14"/>
      <c r="I30" s="13">
        <f>J30</f>
        <v>253</v>
      </c>
      <c r="J30" s="10">
        <f>RTD("cqg.rtd",,"DOMData",$B$25,"Volume","5","T")</f>
        <v>253</v>
      </c>
      <c r="K30" s="9">
        <f>RTD("cqg.rtd",,"DOMData",$B$25,"Price","5")</f>
        <v>165260</v>
      </c>
      <c r="L30" s="29"/>
      <c r="M30" s="41">
        <f>IF(ISERROR(P30-J30),"",P30-J30)</f>
        <v>-162</v>
      </c>
      <c r="N30" s="28"/>
      <c r="O30" s="52">
        <f>RTD("cqg.rtd",,"DOMData",$O$25,"Price","5")</f>
        <v>164160</v>
      </c>
      <c r="P30" s="10">
        <f>RTD("cqg.rtd",,"DOMData",$O$25,"Volume","5","T")</f>
        <v>91</v>
      </c>
      <c r="Q30" s="9">
        <f>P30*-1</f>
        <v>-91</v>
      </c>
      <c r="Y30" s="8"/>
      <c r="Z30" s="7"/>
      <c r="AA30" s="2">
        <f>RTD("cqg.rtd",,"StudyData",$O$25, "Vol", "VolType=auto,CoCType=Contract", "Vol","D","0","ALL",,,"TRUE","T")</f>
        <v>1366</v>
      </c>
      <c r="AB30" s="2">
        <f>RTD("cqg.rtd",,"StudyData",$B$25, "Vol", "VolType=auto,CoCType=Contract", "Vol","D","0","ALL",,,"TRUE","T")</f>
        <v>209820</v>
      </c>
      <c r="AC30" s="2" t="s">
        <v>5</v>
      </c>
      <c r="AD30" s="2" t="e">
        <f>IF(RTD("cqg.rtd",,"StudyData",$B$25,"VolOI","OIType=Contract","OI","D","-1","all",,,,"T")="",NA(),RTD("cqg.rtd",,"StudyData",$B$25,"VolOI","OIType=Contract","OI","D","-1","all",,,,"T"))</f>
        <v>#N/A</v>
      </c>
      <c r="AE30" s="2" t="e">
        <f>IF(RTD("cqg.rtd",,"StudyData",$O$25,"VolOI","OIType=Contract","OI","D","-1","all",,,,"T")="",NA(),RTD("cqg.rtd",,"StudyData",$O$25,"VolOI","OIType=Contract","OI","D","-1","all",,,,"T"))</f>
        <v>#N/A</v>
      </c>
      <c r="AF30" s="2" t="s">
        <v>4</v>
      </c>
    </row>
    <row r="31" spans="2:32" ht="21" customHeight="1" x14ac:dyDescent="0.3">
      <c r="B31" s="8"/>
      <c r="C31" s="3"/>
      <c r="D31" s="35"/>
      <c r="E31" s="7"/>
      <c r="F31" s="7"/>
      <c r="G31" s="7"/>
      <c r="H31" s="7"/>
      <c r="I31" s="12">
        <f>J31</f>
        <v>265</v>
      </c>
      <c r="J31" s="10">
        <f>RTD("cqg.rtd",,"DOMData",$B$25,"Volume","4","T")</f>
        <v>265</v>
      </c>
      <c r="K31" s="9">
        <f>RTD("cqg.rtd",,"DOMData",$B$25,"Price","4")</f>
        <v>165250</v>
      </c>
      <c r="L31" s="8"/>
      <c r="M31" s="42">
        <f t="shared" ref="M31:M34" si="3">IF(ISERROR(P31-J31),"",P31-J31)</f>
        <v>-132</v>
      </c>
      <c r="N31" s="28"/>
      <c r="O31" s="52">
        <f>RTD("cqg.rtd",,"DOMData",$O$25,"Price","4")</f>
        <v>164150</v>
      </c>
      <c r="P31" s="10">
        <f>RTD("cqg.rtd",,"DOMData",$O$25,"Volume","4","T")</f>
        <v>133</v>
      </c>
      <c r="Q31" s="9">
        <f t="shared" ref="Q31:Q40" si="4">P31*-1</f>
        <v>-133</v>
      </c>
      <c r="Y31" s="8"/>
      <c r="Z31" s="7"/>
      <c r="AA31" s="2">
        <f>RTD("cqg.rtd",,"StudyData",$O$25, "Vol", "VolType=auto,CoCType=Contract", "Vol","D","-1","ALL",,,"TRUE","T")</f>
        <v>4543</v>
      </c>
      <c r="AB31" s="2">
        <f>RTD("cqg.rtd",,"StudyData",$B$25, "Vol", "VolType=auto,CoCType=Contract", "Vol","D","-1","ALL",,,"TRUE","T")</f>
        <v>341455</v>
      </c>
      <c r="AC31" s="2">
        <v>-1</v>
      </c>
      <c r="AD31" s="2">
        <f>IF(RTD("cqg.rtd",,"StudyData",$B$25,"VolOI","OIType=Contract","OI","D",AF31,"all",,,,"T")="",NA(),RTD("cqg.rtd",,"StudyData",$B$25,"VolOI","OIType=Contract","OI","D",AF31,"all",,,,"T"))</f>
        <v>558416</v>
      </c>
      <c r="AE31" s="2">
        <f>IF(RTD("cqg.rtd",,"StudyData",$O$25,"VolOI","OIType=Contract","OI","D",AF31,"all",,,,"T")="",NA(),RTD("cqg.rtd",,"StudyData",$O$25,"VolOI","OIType=Contract","OI","D",AF31,"all",,,,"T"))</f>
        <v>11038</v>
      </c>
      <c r="AF31" s="2">
        <v>-2</v>
      </c>
    </row>
    <row r="32" spans="2:32" ht="21" customHeight="1" x14ac:dyDescent="0.3">
      <c r="B32" s="8"/>
      <c r="C32" s="3"/>
      <c r="D32" s="35"/>
      <c r="E32" s="7"/>
      <c r="F32" s="7"/>
      <c r="G32" s="7"/>
      <c r="H32" s="7"/>
      <c r="I32" s="12">
        <f>J32</f>
        <v>282</v>
      </c>
      <c r="J32" s="10">
        <f>RTD("cqg.rtd",,"DOMData",$B$25,"Volume","3","T")</f>
        <v>282</v>
      </c>
      <c r="K32" s="9">
        <f>RTD("cqg.rtd",,"DOMData",$B$25,"Price","3")</f>
        <v>165240</v>
      </c>
      <c r="L32" s="8"/>
      <c r="M32" s="42">
        <f t="shared" si="3"/>
        <v>-190</v>
      </c>
      <c r="N32" s="28"/>
      <c r="O32" s="52">
        <f>RTD("cqg.rtd",,"DOMData",$O$25,"Price","3")</f>
        <v>164140</v>
      </c>
      <c r="P32" s="10">
        <f>RTD("cqg.rtd",,"DOMData",$O$25,"Volume","3","T")</f>
        <v>92</v>
      </c>
      <c r="Q32" s="9">
        <f t="shared" si="4"/>
        <v>-92</v>
      </c>
      <c r="Y32" s="8"/>
      <c r="Z32" s="7"/>
      <c r="AA32" s="2">
        <f>RTD("cqg.rtd",,"StudyData",$O$25, "Vol", "VolType=auto,CoCType=Contract", "Vol","D","-2","ALL",,,"TRUE","T")</f>
        <v>4370</v>
      </c>
      <c r="AB32" s="2">
        <f>RTD("cqg.rtd",,"StudyData",$B$25, "Vol", "VolType=auto,CoCType=Contract", "Vol","D","-2","ALL",,,"TRUE","T")</f>
        <v>558537</v>
      </c>
      <c r="AC32" s="2">
        <v>-2</v>
      </c>
      <c r="AD32" s="2">
        <f>IF(RTD("cqg.rtd",,"StudyData",$B$25,"VolOI","OIType=Contract","OI","D",AF32,"all",,,,"T")="",NA(),RTD("cqg.rtd",,"StudyData",$B$25,"VolOI","OIType=Contract","OI","D",AF32,"all",,,,"T"))</f>
        <v>558498</v>
      </c>
      <c r="AE32" s="2">
        <f>IF(RTD("cqg.rtd",,"StudyData",$O$25,"VolOI","OIType=Contract","OI","D",AF32,"all",,,,"T")="",NA(),RTD("cqg.rtd",,"StudyData",$O$25,"VolOI","OIType=Contract","OI","D",AF32,"all",,,,"T"))</f>
        <v>10584</v>
      </c>
      <c r="AF32" s="2">
        <v>-3</v>
      </c>
    </row>
    <row r="33" spans="2:32" ht="21" customHeight="1" x14ac:dyDescent="0.3">
      <c r="B33" s="8"/>
      <c r="C33" s="3"/>
      <c r="D33" s="35"/>
      <c r="E33" s="7"/>
      <c r="F33" s="7"/>
      <c r="G33" s="7"/>
      <c r="H33" s="7"/>
      <c r="I33" s="12">
        <f>J33</f>
        <v>294</v>
      </c>
      <c r="J33" s="10">
        <f>RTD("cqg.rtd",,"DOMData",$B$25,"Volume","2","T")</f>
        <v>294</v>
      </c>
      <c r="K33" s="9">
        <f>RTD("cqg.rtd",,"DOMData",$B$25,"Price","2")</f>
        <v>165230</v>
      </c>
      <c r="L33" s="8"/>
      <c r="M33" s="42">
        <f t="shared" si="3"/>
        <v>-207</v>
      </c>
      <c r="N33" s="28"/>
      <c r="O33" s="52">
        <f>RTD("cqg.rtd",,"DOMData",$O$25,"Price","2")</f>
        <v>164130</v>
      </c>
      <c r="P33" s="10">
        <f>RTD("cqg.rtd",,"DOMData",$O$25,"Volume","2","T")</f>
        <v>87</v>
      </c>
      <c r="Q33" s="9">
        <f t="shared" si="4"/>
        <v>-87</v>
      </c>
      <c r="Y33" s="8"/>
      <c r="Z33" s="7"/>
      <c r="AA33" s="2">
        <f>RTD("cqg.rtd",,"StudyData",$O$25, "Vol", "VolType=auto,CoCType=Contract", "Vol","D","-3","ALL",,,"TRUE","T")</f>
        <v>4768</v>
      </c>
      <c r="AB33" s="2">
        <f>RTD("cqg.rtd",,"StudyData",$B$25, "Vol", "VolType=auto,CoCType=Contract", "Vol","D","-3","ALL",,,"TRUE","T")</f>
        <v>329883</v>
      </c>
      <c r="AC33" s="2">
        <v>-3</v>
      </c>
      <c r="AD33" s="2">
        <f>IF(RTD("cqg.rtd",,"StudyData",$B$25,"VolOI","OIType=Contract","OI","D",AF33,"all",,,,"T")="",NA(),RTD("cqg.rtd",,"StudyData",$B$25,"VolOI","OIType=Contract","OI","D",AF33,"all",,,,"T"))</f>
        <v>560568</v>
      </c>
      <c r="AE33" s="2">
        <f>IF(RTD("cqg.rtd",,"StudyData",$O$25,"VolOI","OIType=Contract","OI","D",AF33,"all",,,,"T")="",NA(),RTD("cqg.rtd",,"StudyData",$O$25,"VolOI","OIType=Contract","OI","D",AF33,"all",,,,"T"))</f>
        <v>10453</v>
      </c>
      <c r="AF33" s="2">
        <v>-4</v>
      </c>
    </row>
    <row r="34" spans="2:32" ht="21" customHeight="1" x14ac:dyDescent="0.3">
      <c r="B34" s="8"/>
      <c r="C34" s="3"/>
      <c r="D34" s="35"/>
      <c r="E34" s="7"/>
      <c r="F34" s="7"/>
      <c r="G34" s="7"/>
      <c r="H34" s="7"/>
      <c r="I34" s="12">
        <f>J34</f>
        <v>66</v>
      </c>
      <c r="J34" s="10">
        <f>RTD("cqg.rtd",,"DOMData",$B$25,"Volume","1","T")</f>
        <v>66</v>
      </c>
      <c r="K34" s="9">
        <f>RTD("cqg.rtd",,"DOMData",$B$25,"Price","1")</f>
        <v>165220</v>
      </c>
      <c r="L34" s="8"/>
      <c r="M34" s="42">
        <f t="shared" si="3"/>
        <v>-31</v>
      </c>
      <c r="N34" s="28"/>
      <c r="O34" s="52">
        <f>RTD("cqg.rtd",,"DOMData",$O$25,"Price","1")</f>
        <v>164120</v>
      </c>
      <c r="P34" s="10">
        <f>RTD("cqg.rtd",,"DOMData",$O$25,"Volume","1","T")</f>
        <v>35</v>
      </c>
      <c r="Q34" s="9">
        <f t="shared" si="4"/>
        <v>-35</v>
      </c>
      <c r="Y34" s="8"/>
      <c r="Z34" s="7"/>
      <c r="AA34" s="2">
        <f>RTD("cqg.rtd",,"StudyData",$O$25, "Vol", "VolType=auto,CoCType=Contract", "Vol","D","-4","ALL",,,"TRUE","T")</f>
        <v>2867</v>
      </c>
      <c r="AB34" s="2">
        <f>RTD("cqg.rtd",,"StudyData",$B$25, "Vol", "VolType=auto,CoCType=Contract", "Vol","D","-4","ALL",,,"TRUE","T")</f>
        <v>375240</v>
      </c>
      <c r="AC34" s="2">
        <v>-4</v>
      </c>
      <c r="AD34" s="2">
        <f>IF(RTD("cqg.rtd",,"StudyData",$B$25,"VolOI","OIType=Contract","OI","D",AF34,"all",,,,"T")="",NA(),RTD("cqg.rtd",,"StudyData",$B$25,"VolOI","OIType=Contract","OI","D",AF34,"all",,,,"T"))</f>
        <v>559490</v>
      </c>
      <c r="AE34" s="2">
        <f>IF(RTD("cqg.rtd",,"StudyData",$O$25,"VolOI","OIType=Contract","OI","D",AF34,"all",,,,"T")="",NA(),RTD("cqg.rtd",,"StudyData",$O$25,"VolOI","OIType=Contract","OI","D",AF34,"all",,,,"T"))</f>
        <v>9795</v>
      </c>
      <c r="AF34" s="2">
        <v>-5</v>
      </c>
    </row>
    <row r="35" spans="2:32" ht="21" customHeight="1" x14ac:dyDescent="0.3">
      <c r="B35" s="8"/>
      <c r="C35" s="3"/>
      <c r="D35" s="35"/>
      <c r="E35" s="7"/>
      <c r="F35" s="7"/>
      <c r="G35" s="7"/>
      <c r="H35" s="7"/>
      <c r="I35" s="77" t="s">
        <v>3</v>
      </c>
      <c r="J35" s="78"/>
      <c r="K35" s="51">
        <f>RTD("cqg.rtd",,"ContractData",B25,"LastTradeorSettle",,"D")</f>
        <v>165220</v>
      </c>
      <c r="L35" s="8"/>
      <c r="M35" s="53">
        <f>RTD("cqg.rtd",,"ContractData",O25,"MT_LastTradeOrSettlementVolume")-RTD("cqg.rtd",,"ContractData",B25,"MT_LastTradeOrSettlementVolume")</f>
        <v>16</v>
      </c>
      <c r="N35" s="28"/>
      <c r="O35" s="50">
        <f>RTD("cqg.rtd",,"ContractData",O25,"LastTradeorSettle",,"D")</f>
        <v>164100</v>
      </c>
      <c r="P35" s="79" t="s">
        <v>3</v>
      </c>
      <c r="Q35" s="80"/>
      <c r="Y35" s="8"/>
      <c r="Z35" s="7"/>
      <c r="AA35" s="2">
        <f>RTD("cqg.rtd",,"StudyData",$O$25, "Vol", "VolType=auto,CoCType=Contract", "Vol","D","-5","ALL",,,"TRUE","T")</f>
        <v>3476</v>
      </c>
      <c r="AB35" s="2">
        <f>RTD("cqg.rtd",,"StudyData",$B$25, "Vol", "VolType=auto,CoCType=Contract", "Vol","D","-5","ALL",,,"TRUE","T")</f>
        <v>363230</v>
      </c>
      <c r="AC35" s="2">
        <v>-5</v>
      </c>
      <c r="AD35" s="2">
        <f>IF(RTD("cqg.rtd",,"StudyData",$B$25,"VolOI","OIType=Contract","OI","D",AF35,"all",,,,"T")="",NA(),RTD("cqg.rtd",,"StudyData",$B$25,"VolOI","OIType=Contract","OI","D",AF35,"all",,,,"T"))</f>
        <v>552536</v>
      </c>
      <c r="AE35" s="2">
        <f>IF(RTD("cqg.rtd",,"StudyData",$O$25,"VolOI","OIType=Contract","OI","D",AF35,"all",,,,"T")="",NA(),RTD("cqg.rtd",,"StudyData",$O$25,"VolOI","OIType=Contract","OI","D",AF35,"all",,,,"T"))</f>
        <v>7968</v>
      </c>
      <c r="AF35" s="2">
        <v>-6</v>
      </c>
    </row>
    <row r="36" spans="2:32" ht="21" customHeight="1" x14ac:dyDescent="0.3">
      <c r="B36" s="8"/>
      <c r="C36" s="3"/>
      <c r="D36" s="35"/>
      <c r="E36" s="7"/>
      <c r="F36" s="7"/>
      <c r="G36" s="7"/>
      <c r="H36" s="7"/>
      <c r="I36" s="12">
        <f>J36</f>
        <v>167</v>
      </c>
      <c r="J36" s="10">
        <f>RTD("cqg.rtd",,"DOMData",$B$25,"Volume","-1","T")</f>
        <v>167</v>
      </c>
      <c r="K36" s="9">
        <f>RTD("cqg.rtd",,"DOMData",$B$25,"Price","-1")</f>
        <v>165210</v>
      </c>
      <c r="L36" s="8"/>
      <c r="M36" s="42">
        <f t="shared" ref="M36:M40" si="5">IF(ISERROR(P36-J36),"",P36-J36)</f>
        <v>-81</v>
      </c>
      <c r="N36" s="28"/>
      <c r="O36" s="52">
        <f>RTD("cqg.rtd",,"DOMData",$O$25,"Price","-1")</f>
        <v>164100</v>
      </c>
      <c r="P36" s="10">
        <f>RTD("cqg.rtd",,"DOMData",$O$25,"Volume","-1","T")</f>
        <v>86</v>
      </c>
      <c r="Q36" s="9">
        <f t="shared" si="4"/>
        <v>-86</v>
      </c>
      <c r="Y36" s="8"/>
      <c r="Z36" s="7"/>
      <c r="AA36" s="2">
        <f>RTD("cqg.rtd",,"StudyData",$O$25, "Vol", "VolType=auto,CoCType=Contract", "Vol","D","-6","ALL",,,"TRUE","T")</f>
        <v>1346</v>
      </c>
      <c r="AB36" s="2">
        <f>RTD("cqg.rtd",,"StudyData",$B$25, "Vol", "VolType=auto,CoCType=Contract", "Vol","D","-6","ALL",,,"TRUE","T")</f>
        <v>351374</v>
      </c>
      <c r="AC36" s="2">
        <v>-6</v>
      </c>
      <c r="AD36" s="2">
        <f>IF(RTD("cqg.rtd",,"StudyData",$B$25,"VolOI","OIType=Contract","OI","D",AF36,"all",,,,"T")="",NA(),RTD("cqg.rtd",,"StudyData",$B$25,"VolOI","OIType=Contract","OI","D",AF36,"all",,,,"T"))</f>
        <v>547221</v>
      </c>
      <c r="AE36" s="2">
        <f>IF(RTD("cqg.rtd",,"StudyData",$O$25,"VolOI","OIType=Contract","OI","D",AF36,"all",,,,"T")="",NA(),RTD("cqg.rtd",,"StudyData",$O$25,"VolOI","OIType=Contract","OI","D",AF36,"all",,,,"T"))</f>
        <v>7680</v>
      </c>
      <c r="AF36" s="2">
        <v>-7</v>
      </c>
    </row>
    <row r="37" spans="2:32" ht="21" customHeight="1" x14ac:dyDescent="0.3">
      <c r="B37" s="8"/>
      <c r="C37" s="3"/>
      <c r="D37" s="35"/>
      <c r="E37" s="7"/>
      <c r="F37" s="7"/>
      <c r="G37" s="7"/>
      <c r="H37" s="7"/>
      <c r="I37" s="12">
        <f>J37</f>
        <v>416</v>
      </c>
      <c r="J37" s="10">
        <f>RTD("cqg.rtd",,"DOMData",$B$25,"Volume","-2","T")</f>
        <v>416</v>
      </c>
      <c r="K37" s="9">
        <f>RTD("cqg.rtd",,"DOMData",$B$25,"Price","-2")</f>
        <v>165200</v>
      </c>
      <c r="L37" s="8"/>
      <c r="M37" s="42">
        <f t="shared" si="5"/>
        <v>-329</v>
      </c>
      <c r="N37" s="28"/>
      <c r="O37" s="52">
        <f>RTD("cqg.rtd",,"DOMData",$O$25,"Price","-2")</f>
        <v>164090</v>
      </c>
      <c r="P37" s="10">
        <f>RTD("cqg.rtd",,"DOMData",$O$25,"Volume","-2","T")</f>
        <v>87</v>
      </c>
      <c r="Q37" s="9">
        <f t="shared" si="4"/>
        <v>-87</v>
      </c>
      <c r="Y37" s="8"/>
      <c r="Z37" s="7"/>
      <c r="AA37" s="2">
        <f>RTD("cqg.rtd",,"StudyData",$O$25, "Vol", "VolType=auto,CoCType=Contract", "Vol","D","-7","ALL",,,"TRUE","T")</f>
        <v>1992</v>
      </c>
      <c r="AB37" s="2">
        <f>RTD("cqg.rtd",,"StudyData",$B$25, "Vol", "VolType=auto,CoCType=Contract", "Vol","D","-7","ALL",,,"TRUE","T")</f>
        <v>300176</v>
      </c>
      <c r="AC37" s="2">
        <v>-7</v>
      </c>
      <c r="AD37" s="2">
        <f>IF(RTD("cqg.rtd",,"StudyData",$B$25,"VolOI","OIType=Contract","OI","D",AF37,"all",,,,"T")="",NA(),RTD("cqg.rtd",,"StudyData",$B$25,"VolOI","OIType=Contract","OI","D",AF37,"all",,,,"T"))</f>
        <v>542351</v>
      </c>
      <c r="AE37" s="2">
        <f>IF(RTD("cqg.rtd",,"StudyData",$O$25,"VolOI","OIType=Contract","OI","D",AF37,"all",,,,"T")="",NA(),RTD("cqg.rtd",,"StudyData",$O$25,"VolOI","OIType=Contract","OI","D",AF37,"all",,,,"T"))</f>
        <v>6400</v>
      </c>
      <c r="AF37" s="2">
        <v>-8</v>
      </c>
    </row>
    <row r="38" spans="2:32" ht="21" customHeight="1" x14ac:dyDescent="0.3">
      <c r="B38" s="8"/>
      <c r="C38" s="3"/>
      <c r="D38" s="35"/>
      <c r="E38" s="7"/>
      <c r="F38" s="7"/>
      <c r="G38" s="7"/>
      <c r="H38" s="7"/>
      <c r="I38" s="12">
        <f>J38</f>
        <v>283</v>
      </c>
      <c r="J38" s="10">
        <f>RTD("cqg.rtd",,"DOMData",$B$25,"Volume","-3","T")</f>
        <v>283</v>
      </c>
      <c r="K38" s="9">
        <f>RTD("cqg.rtd",,"DOMData",$B$25,"Price","-3")</f>
        <v>165190</v>
      </c>
      <c r="L38" s="8"/>
      <c r="M38" s="42">
        <f t="shared" si="5"/>
        <v>-197</v>
      </c>
      <c r="N38" s="28"/>
      <c r="O38" s="52">
        <f>RTD("cqg.rtd",,"DOMData",$O$25,"Price","-3")</f>
        <v>164080</v>
      </c>
      <c r="P38" s="10">
        <f>RTD("cqg.rtd",,"DOMData",$O$25,"Volume","-3","T")</f>
        <v>86</v>
      </c>
      <c r="Q38" s="9">
        <f t="shared" si="4"/>
        <v>-86</v>
      </c>
      <c r="Y38" s="8"/>
      <c r="Z38" s="7"/>
      <c r="AA38" s="2">
        <f>RTD("cqg.rtd",,"StudyData",$O$25, "Vol", "VolType=auto,CoCType=Contract", "Vol","D","-8","ALL",,,"TRUE","T")</f>
        <v>3604</v>
      </c>
      <c r="AB38" s="2">
        <f>RTD("cqg.rtd",,"StudyData",$B$25, "Vol", "VolType=auto,CoCType=Contract", "Vol","D","-8","ALL",,,"TRUE","T")</f>
        <v>391465</v>
      </c>
      <c r="AC38" s="2">
        <v>-8</v>
      </c>
      <c r="AD38" s="2">
        <f>IF(RTD("cqg.rtd",,"StudyData",$B$25,"VolOI","OIType=Contract","OI","D",AF38,"all",,,,"T")="",NA(),RTD("cqg.rtd",,"StudyData",$B$25,"VolOI","OIType=Contract","OI","D",AF38,"all",,,,"T"))</f>
        <v>545301</v>
      </c>
      <c r="AE38" s="2">
        <f>IF(RTD("cqg.rtd",,"StudyData",$O$25,"VolOI","OIType=Contract","OI","D",AF38,"all",,,,"T")="",NA(),RTD("cqg.rtd",,"StudyData",$O$25,"VolOI","OIType=Contract","OI","D",AF38,"all",,,,"T"))</f>
        <v>5185</v>
      </c>
      <c r="AF38" s="2">
        <v>-9</v>
      </c>
    </row>
    <row r="39" spans="2:32" ht="21" customHeight="1" x14ac:dyDescent="0.3">
      <c r="B39" s="8"/>
      <c r="C39" s="3"/>
      <c r="D39" s="35"/>
      <c r="E39" s="7"/>
      <c r="F39" s="7"/>
      <c r="G39" s="7"/>
      <c r="H39" s="7"/>
      <c r="I39" s="12">
        <f>J39</f>
        <v>234</v>
      </c>
      <c r="J39" s="10">
        <f>RTD("cqg.rtd",,"DOMData",$B$25,"Volume","-4","T")</f>
        <v>234</v>
      </c>
      <c r="K39" s="9">
        <f>RTD("cqg.rtd",,"DOMData",$B$25,"Price","-4")</f>
        <v>165180</v>
      </c>
      <c r="L39" s="8"/>
      <c r="M39" s="42">
        <f t="shared" si="5"/>
        <v>-101</v>
      </c>
      <c r="N39" s="28"/>
      <c r="O39" s="52">
        <f>RTD("cqg.rtd",,"DOMData",$O$25,"Price","-4")</f>
        <v>164070</v>
      </c>
      <c r="P39" s="10">
        <f>RTD("cqg.rtd",,"DOMData",$O$25,"Volume","-4","T")</f>
        <v>133</v>
      </c>
      <c r="Q39" s="9">
        <f t="shared" si="4"/>
        <v>-133</v>
      </c>
      <c r="Y39" s="8"/>
      <c r="Z39" s="7"/>
      <c r="AA39" s="2">
        <f>RTD("cqg.rtd",,"StudyData",$O$25, "Vol", "VolType=auto,CoCType=Contract", "Vol","D","-9","ALL",,,"TRUE","T")</f>
        <v>1506</v>
      </c>
      <c r="AB39" s="2">
        <f>RTD("cqg.rtd",,"StudyData",$B$25, "Vol", "VolType=auto,CoCType=Contract", "Vol","D","-9","ALL",,,"TRUE","T")</f>
        <v>294507</v>
      </c>
      <c r="AC39" s="2">
        <v>-9</v>
      </c>
      <c r="AD39" s="2">
        <f>IF(RTD("cqg.rtd",,"StudyData",$B$25,"VolOI","OIType=Contract","OI","D",AF39,"all",,,,"T")="",NA(),RTD("cqg.rtd",,"StudyData",$B$25,"VolOI","OIType=Contract","OI","D",AF39,"all",,,,"T"))</f>
        <v>535580</v>
      </c>
      <c r="AE39" s="2">
        <f>IF(RTD("cqg.rtd",,"StudyData",$O$25,"VolOI","OIType=Contract","OI","D",AF39,"all",,,,"T")="",NA(),RTD("cqg.rtd",,"StudyData",$O$25,"VolOI","OIType=Contract","OI","D",AF39,"all",,,,"T"))</f>
        <v>4280</v>
      </c>
      <c r="AF39" s="2">
        <v>-10</v>
      </c>
    </row>
    <row r="40" spans="2:32" ht="21" customHeight="1" x14ac:dyDescent="0.3">
      <c r="B40" s="32"/>
      <c r="C40" s="33"/>
      <c r="D40" s="37"/>
      <c r="E40" s="7"/>
      <c r="F40" s="7"/>
      <c r="G40" s="7"/>
      <c r="H40" s="7"/>
      <c r="I40" s="11">
        <f>J40</f>
        <v>253</v>
      </c>
      <c r="J40" s="10">
        <f>RTD("cqg.rtd",,"DOMData",$B$25,"Volume","5","T")</f>
        <v>253</v>
      </c>
      <c r="K40" s="9">
        <f>RTD("cqg.rtd",,"DOMData",$B$25,"Price","-5")</f>
        <v>165170</v>
      </c>
      <c r="L40" s="8"/>
      <c r="M40" s="42">
        <f t="shared" si="5"/>
        <v>-162</v>
      </c>
      <c r="N40" s="28"/>
      <c r="O40" s="52">
        <f>RTD("cqg.rtd",,"DOMData",$O$25,"Price","-5")</f>
        <v>164060</v>
      </c>
      <c r="P40" s="10">
        <f>RTD("cqg.rtd",,"DOMData",$O$25,"Volume","5","T")</f>
        <v>91</v>
      </c>
      <c r="Q40" s="9">
        <f t="shared" si="4"/>
        <v>-91</v>
      </c>
      <c r="Y40" s="8"/>
      <c r="Z40" s="7"/>
      <c r="AA40" s="2">
        <f>RTD("cqg.rtd",,"StudyData",$O$25, "Vol", "VolType=auto,CoCType=Contract", "Vol","D","-10","ALL",,,"TRUE","T")</f>
        <v>1710</v>
      </c>
      <c r="AB40" s="2">
        <f>RTD("cqg.rtd",,"StudyData",$B$25, "Vol", "VolType=auto,CoCType=Contract", "Vol","D","-10","ALL",,,"TRUE","T")</f>
        <v>219539</v>
      </c>
      <c r="AC40" s="2">
        <v>-10</v>
      </c>
      <c r="AD40" s="2">
        <f>IF(RTD("cqg.rtd",,"StudyData",$B$25,"VolOI","OIType=Contract","OI","D",AF40,"all",,,,"T")="",NA(),RTD("cqg.rtd",,"StudyData",$B$25,"VolOI","OIType=Contract","OI","D",AF40,"all",,,,"T"))</f>
        <v>532929</v>
      </c>
      <c r="AE40" s="2">
        <f>IF(RTD("cqg.rtd",,"StudyData",$O$25,"VolOI","OIType=Contract","OI","D",AF40,"all",,,,"T")="",NA(),RTD("cqg.rtd",,"StudyData",$O$25,"VolOI","OIType=Contract","OI","D",AF40,"all",,,,"T"))</f>
        <v>3195</v>
      </c>
      <c r="AF40" s="2">
        <v>-11</v>
      </c>
    </row>
    <row r="41" spans="2:32" x14ac:dyDescent="0.3">
      <c r="B41" s="72" t="s">
        <v>27</v>
      </c>
      <c r="C41" s="73"/>
      <c r="D41" s="73"/>
      <c r="E41" s="73"/>
      <c r="F41" s="73"/>
      <c r="G41" s="74" t="s">
        <v>2</v>
      </c>
      <c r="H41" s="74"/>
      <c r="I41" s="74"/>
      <c r="J41" s="71">
        <f>RTD("cqg.rtd", ,"SystemInfo", "Linetime")</f>
        <v>42416.38962962963</v>
      </c>
      <c r="K41" s="71"/>
      <c r="L41" s="6"/>
      <c r="M41" s="6"/>
      <c r="N41" s="5" t="s">
        <v>1</v>
      </c>
      <c r="O41" s="71">
        <f>RTD("cqg.rtd", ,"SystemInfo", "Linetime")+0.041666</f>
        <v>42416.431295629627</v>
      </c>
      <c r="P41" s="71"/>
      <c r="Q41" s="74" t="s">
        <v>28</v>
      </c>
      <c r="R41" s="74"/>
      <c r="S41" s="71">
        <f>RTD("cqg.rtd", ,"SystemInfo", "Linetime")+0.25</f>
        <v>42416.63962962963</v>
      </c>
      <c r="T41" s="71"/>
      <c r="U41" s="5" t="s">
        <v>0</v>
      </c>
      <c r="V41" s="71">
        <f>RTD("cqg.rtd", ,"SystemInfo", "Linetime")+14/24</f>
        <v>42416.972962962966</v>
      </c>
      <c r="W41" s="71"/>
      <c r="X41" s="4"/>
    </row>
  </sheetData>
  <sheetProtection algorithmName="SHA-512" hashValue="TIzpHV/wFDypXTSlBnxGMorLVzOPNUPr5uUCITqjVE0VGRjuRxIbicfmIPdOQUzFvTuoQdfiF4YTADUpJYqSxA==" saltValue="Ey+VSzRsmnF5gmYoaR9/rA==" spinCount="100000" sheet="1" objects="1" scenarios="1" selectLockedCells="1"/>
  <mergeCells count="53">
    <mergeCell ref="J41:K41"/>
    <mergeCell ref="G41:I41"/>
    <mergeCell ref="R29:X29"/>
    <mergeCell ref="S4:T4"/>
    <mergeCell ref="U4:V4"/>
    <mergeCell ref="W4:X4"/>
    <mergeCell ref="O29:Q29"/>
    <mergeCell ref="S23:T23"/>
    <mergeCell ref="W23:X23"/>
    <mergeCell ref="P35:Q35"/>
    <mergeCell ref="I29:K29"/>
    <mergeCell ref="B29:H29"/>
    <mergeCell ref="I16:J16"/>
    <mergeCell ref="B16:C16"/>
    <mergeCell ref="L29:N29"/>
    <mergeCell ref="I9:K9"/>
    <mergeCell ref="B2:X3"/>
    <mergeCell ref="J4:K4"/>
    <mergeCell ref="H4:I4"/>
    <mergeCell ref="F4:G4"/>
    <mergeCell ref="O28:Q28"/>
    <mergeCell ref="U23:V23"/>
    <mergeCell ref="L28:N28"/>
    <mergeCell ref="L5:N5"/>
    <mergeCell ref="L6:N6"/>
    <mergeCell ref="L24:N24"/>
    <mergeCell ref="L25:N25"/>
    <mergeCell ref="L9:N9"/>
    <mergeCell ref="L10:N10"/>
    <mergeCell ref="R28:X28"/>
    <mergeCell ref="H23:I23"/>
    <mergeCell ref="J23:K23"/>
    <mergeCell ref="B4:E4"/>
    <mergeCell ref="B23:E23"/>
    <mergeCell ref="S41:T41"/>
    <mergeCell ref="V41:W41"/>
    <mergeCell ref="B41:F41"/>
    <mergeCell ref="O41:P41"/>
    <mergeCell ref="Q41:R41"/>
    <mergeCell ref="F23:G23"/>
    <mergeCell ref="O4:R4"/>
    <mergeCell ref="O23:R23"/>
    <mergeCell ref="O10:Q10"/>
    <mergeCell ref="O9:Q9"/>
    <mergeCell ref="R9:X9"/>
    <mergeCell ref="R10:X10"/>
    <mergeCell ref="I35:J35"/>
    <mergeCell ref="P16:Q16"/>
    <mergeCell ref="I10:K10"/>
    <mergeCell ref="B9:H9"/>
    <mergeCell ref="B10:H10"/>
    <mergeCell ref="I28:K28"/>
    <mergeCell ref="B28:H28"/>
  </mergeCells>
  <conditionalFormatting sqref="B11:B15">
    <cfRule type="dataBar" priority="5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{F652CA81-74C5-4271-B122-D2017335CAA8}</x14:id>
        </ext>
      </extLst>
    </cfRule>
  </conditionalFormatting>
  <conditionalFormatting sqref="B17:B21">
    <cfRule type="dataBar" priority="4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{7203C2BD-685A-41B7-9BB9-8157D032805B}</x14:id>
        </ext>
      </extLst>
    </cfRule>
  </conditionalFormatting>
  <conditionalFormatting sqref="D11:D15">
    <cfRule type="colorScale" priority="48">
      <colorScale>
        <cfvo type="min"/>
        <cfvo type="max"/>
        <color theme="5" tint="0.39997558519241921"/>
        <color rgb="FFFF0000"/>
      </colorScale>
    </cfRule>
  </conditionalFormatting>
  <conditionalFormatting sqref="B30:B34">
    <cfRule type="dataBar" priority="4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{0D7D9D27-A624-4249-90E4-35D239D77AF4}</x14:id>
        </ext>
      </extLst>
    </cfRule>
  </conditionalFormatting>
  <conditionalFormatting sqref="B37:B40">
    <cfRule type="dataBar" priority="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{C5B2B900-3302-4EE9-99A3-8EF0D15E0CEA}</x14:id>
        </ext>
      </extLst>
    </cfRule>
  </conditionalFormatting>
  <conditionalFormatting sqref="D17:D21">
    <cfRule type="colorScale" priority="40">
      <colorScale>
        <cfvo type="min"/>
        <cfvo type="max"/>
        <color rgb="FF00B050"/>
        <color rgb="FFFFFF00"/>
      </colorScale>
    </cfRule>
  </conditionalFormatting>
  <conditionalFormatting sqref="D30:D34">
    <cfRule type="colorScale" priority="38">
      <colorScale>
        <cfvo type="min"/>
        <cfvo type="max"/>
        <color theme="5" tint="0.39997558519241921"/>
        <color rgb="FFFF0000"/>
      </colorScale>
    </cfRule>
  </conditionalFormatting>
  <conditionalFormatting sqref="D37:D40">
    <cfRule type="colorScale" priority="37">
      <colorScale>
        <cfvo type="min"/>
        <cfvo type="max"/>
        <color rgb="FF00B050"/>
        <color rgb="FFFFFF00"/>
      </colorScale>
    </cfRule>
  </conditionalFormatting>
  <conditionalFormatting sqref="M11:M15">
    <cfRule type="dataBar" priority="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{A634647B-86A3-4EB6-8A69-9A7AC64925DA}</x14:id>
        </ext>
      </extLst>
    </cfRule>
  </conditionalFormatting>
  <conditionalFormatting sqref="K11:K15">
    <cfRule type="colorScale" priority="28">
      <colorScale>
        <cfvo type="min"/>
        <cfvo type="max"/>
        <color theme="5" tint="0.39997558519241921"/>
        <color rgb="FFFF0000"/>
      </colorScale>
    </cfRule>
  </conditionalFormatting>
  <conditionalFormatting sqref="K17:K21">
    <cfRule type="colorScale" priority="27">
      <colorScale>
        <cfvo type="min"/>
        <cfvo type="max"/>
        <color rgb="FF00B050"/>
        <color rgb="FFFFFF00"/>
      </colorScale>
    </cfRule>
  </conditionalFormatting>
  <conditionalFormatting sqref="I11:I15">
    <cfRule type="dataBar" priority="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{7798FF14-3206-4E01-BC10-596D2F40706A}</x14:id>
        </ext>
      </extLst>
    </cfRule>
  </conditionalFormatting>
  <conditionalFormatting sqref="I17:I21">
    <cfRule type="dataBar" priority="2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{17E42AB2-A71A-46EE-B9BE-41BAB47222C4}</x14:id>
        </ext>
      </extLst>
    </cfRule>
  </conditionalFormatting>
  <conditionalFormatting sqref="I30:I34">
    <cfRule type="dataBar" priority="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{459B81D0-1B41-4322-88BE-7D4361F923D8}</x14:id>
        </ext>
      </extLst>
    </cfRule>
  </conditionalFormatting>
  <conditionalFormatting sqref="I36:I40">
    <cfRule type="dataBar" priority="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{3DF2B691-5A4C-4DCB-83A0-57D99A43C789}</x14:id>
        </ext>
      </extLst>
    </cfRule>
  </conditionalFormatting>
  <conditionalFormatting sqref="B35:B36">
    <cfRule type="dataBar" priority="2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{F9FAE7F8-C290-4E1C-AEF6-4B334E0A2EC8}</x14:id>
        </ext>
      </extLst>
    </cfRule>
  </conditionalFormatting>
  <conditionalFormatting sqref="D35:D36">
    <cfRule type="colorScale" priority="19">
      <colorScale>
        <cfvo type="min"/>
        <cfvo type="max"/>
        <color theme="5" tint="0.39997558519241921"/>
        <color rgb="FFFF0000"/>
      </colorScale>
    </cfRule>
  </conditionalFormatting>
  <conditionalFormatting sqref="O11:O15">
    <cfRule type="colorScale" priority="18">
      <colorScale>
        <cfvo type="min"/>
        <cfvo type="max"/>
        <color theme="5" tint="0.39997558519241921"/>
        <color rgb="FFFF0000"/>
      </colorScale>
    </cfRule>
  </conditionalFormatting>
  <conditionalFormatting sqref="O17:O21">
    <cfRule type="colorScale" priority="17">
      <colorScale>
        <cfvo type="min"/>
        <cfvo type="max"/>
        <color rgb="FF00B050"/>
        <color rgb="FFFFFF00"/>
      </colorScale>
    </cfRule>
  </conditionalFormatting>
  <conditionalFormatting sqref="Q11:Q15">
    <cfRule type="dataBar" priority="1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{0DD917DD-419E-476B-B8EB-8875D02BE797}</x14:id>
        </ext>
      </extLst>
    </cfRule>
  </conditionalFormatting>
  <conditionalFormatting sqref="Q36:Q40">
    <cfRule type="dataBar" priority="1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{BD7BB80C-7EB6-4162-84BA-DFB8409880DC}</x14:id>
        </ext>
      </extLst>
    </cfRule>
  </conditionalFormatting>
  <conditionalFormatting sqref="Q30:Q34">
    <cfRule type="dataBar" priority="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{20EB6171-7B71-4F58-8367-B0373E40D5E9}</x14:id>
        </ext>
      </extLst>
    </cfRule>
  </conditionalFormatting>
  <conditionalFormatting sqref="Q17:Q21">
    <cfRule type="dataBar" priority="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{439BE09A-3B3C-4D30-82BE-49D26BC81339}</x14:id>
        </ext>
      </extLst>
    </cfRule>
  </conditionalFormatting>
  <conditionalFormatting sqref="M30:M34">
    <cfRule type="dataBar" priority="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{16878C35-3B9D-4D91-A58E-992F4A791C96}</x14:id>
        </ext>
      </extLst>
    </cfRule>
  </conditionalFormatting>
  <conditionalFormatting sqref="M36:M40">
    <cfRule type="dataBar" priority="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{36C9D5D8-EF23-4EAB-9431-B05DEA7BA9CB}</x14:id>
        </ext>
      </extLst>
    </cfRule>
  </conditionalFormatting>
  <conditionalFormatting sqref="M17:M21">
    <cfRule type="dataBar" priority="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{AE27390C-287A-4850-806F-3AF27CB371BA}</x14:id>
        </ext>
      </extLst>
    </cfRule>
  </conditionalFormatting>
  <conditionalFormatting sqref="K30:K34">
    <cfRule type="colorScale" priority="4">
      <colorScale>
        <cfvo type="min"/>
        <cfvo type="max"/>
        <color theme="5" tint="0.39997558519241921"/>
        <color rgb="FFFF0000"/>
      </colorScale>
    </cfRule>
  </conditionalFormatting>
  <conditionalFormatting sqref="K36:K40">
    <cfRule type="colorScale" priority="3">
      <colorScale>
        <cfvo type="min"/>
        <cfvo type="max"/>
        <color rgb="FF00B050"/>
        <color rgb="FFFFFF00"/>
      </colorScale>
    </cfRule>
  </conditionalFormatting>
  <conditionalFormatting sqref="O30:O34">
    <cfRule type="colorScale" priority="2">
      <colorScale>
        <cfvo type="min"/>
        <cfvo type="max"/>
        <color theme="5" tint="0.39997558519241921"/>
        <color rgb="FFFF0000"/>
      </colorScale>
    </cfRule>
  </conditionalFormatting>
  <conditionalFormatting sqref="O36:O40">
    <cfRule type="colorScale" priority="1">
      <colorScale>
        <cfvo type="min"/>
        <cfvo type="max"/>
        <color rgb="FF00B050"/>
        <color rgb="FFFFFF0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652CA81-74C5-4271-B122-D2017335CA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B11:B15</xm:sqref>
        </x14:conditionalFormatting>
        <x14:conditionalFormatting xmlns:xm="http://schemas.microsoft.com/office/excel/2006/main">
          <x14:cfRule type="dataBar" id="{7203C2BD-685A-41B7-9BB9-8157D032805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B17:B21</xm:sqref>
        </x14:conditionalFormatting>
        <x14:conditionalFormatting xmlns:xm="http://schemas.microsoft.com/office/excel/2006/main">
          <x14:cfRule type="dataBar" id="{0D7D9D27-A624-4249-90E4-35D239D77A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B30:B34</xm:sqref>
        </x14:conditionalFormatting>
        <x14:conditionalFormatting xmlns:xm="http://schemas.microsoft.com/office/excel/2006/main">
          <x14:cfRule type="dataBar" id="{C5B2B900-3302-4EE9-99A3-8EF0D15E0C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B37:B40</xm:sqref>
        </x14:conditionalFormatting>
        <x14:conditionalFormatting xmlns:xm="http://schemas.microsoft.com/office/excel/2006/main">
          <x14:cfRule type="dataBar" id="{A634647B-86A3-4EB6-8A69-9A7AC64925DA}">
            <x14:dataBar minLength="0" maxLength="100" border="1" negativeBarColorSameAsPositive="1" axisPosition="middle">
              <x14:cfvo type="autoMin"/>
              <x14:cfvo type="autoMax"/>
              <x14:borderColor rgb="FF638EC6"/>
              <x14:axisColor rgb="FF002060"/>
            </x14:dataBar>
          </x14:cfRule>
          <xm:sqref>M11:M15</xm:sqref>
        </x14:conditionalFormatting>
        <x14:conditionalFormatting xmlns:xm="http://schemas.microsoft.com/office/excel/2006/main">
          <x14:cfRule type="dataBar" id="{7798FF14-3206-4E01-BC10-596D2F4070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I11:I15</xm:sqref>
        </x14:conditionalFormatting>
        <x14:conditionalFormatting xmlns:xm="http://schemas.microsoft.com/office/excel/2006/main">
          <x14:cfRule type="dataBar" id="{17E42AB2-A71A-46EE-B9BE-41BAB47222C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I17:I21</xm:sqref>
        </x14:conditionalFormatting>
        <x14:conditionalFormatting xmlns:xm="http://schemas.microsoft.com/office/excel/2006/main">
          <x14:cfRule type="dataBar" id="{459B81D0-1B41-4322-88BE-7D4361F923D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I30:I34</xm:sqref>
        </x14:conditionalFormatting>
        <x14:conditionalFormatting xmlns:xm="http://schemas.microsoft.com/office/excel/2006/main">
          <x14:cfRule type="dataBar" id="{3DF2B691-5A4C-4DCB-83A0-57D99A43C78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I36:I40</xm:sqref>
        </x14:conditionalFormatting>
        <x14:conditionalFormatting xmlns:xm="http://schemas.microsoft.com/office/excel/2006/main">
          <x14:cfRule type="dataBar" id="{F9FAE7F8-C290-4E1C-AEF6-4B334E0A2E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B35:B36</xm:sqref>
        </x14:conditionalFormatting>
        <x14:conditionalFormatting xmlns:xm="http://schemas.microsoft.com/office/excel/2006/main">
          <x14:cfRule type="dataBar" id="{0DD917DD-419E-476B-B8EB-8875D02BE797}">
            <x14:dataBar minLength="0" maxLength="100" border="1" negativeBarColorSameAsPositive="1">
              <x14:cfvo type="autoMin"/>
              <x14:cfvo type="autoMax"/>
              <x14:borderColor rgb="FF638EC6"/>
              <x14:axisColor rgb="FF000000"/>
            </x14:dataBar>
          </x14:cfRule>
          <xm:sqref>Q11:Q15</xm:sqref>
        </x14:conditionalFormatting>
        <x14:conditionalFormatting xmlns:xm="http://schemas.microsoft.com/office/excel/2006/main">
          <x14:cfRule type="dataBar" id="{BD7BB80C-7EB6-4162-84BA-DFB8409880DC}">
            <x14:dataBar minLength="0" maxLength="100" border="1" negativeBarColorSameAsPositive="1">
              <x14:cfvo type="autoMin"/>
              <x14:cfvo type="autoMax"/>
              <x14:borderColor rgb="FF638EC6"/>
              <x14:axisColor rgb="FF000000"/>
            </x14:dataBar>
          </x14:cfRule>
          <xm:sqref>Q36:Q40</xm:sqref>
        </x14:conditionalFormatting>
        <x14:conditionalFormatting xmlns:xm="http://schemas.microsoft.com/office/excel/2006/main">
          <x14:cfRule type="dataBar" id="{20EB6171-7B71-4F58-8367-B0373E40D5E9}">
            <x14:dataBar minLength="0" maxLength="100" border="1" negativeBarColorSameAsPositive="1">
              <x14:cfvo type="autoMin"/>
              <x14:cfvo type="autoMax"/>
              <x14:borderColor rgb="FF638EC6"/>
              <x14:axisColor rgb="FF000000"/>
            </x14:dataBar>
          </x14:cfRule>
          <xm:sqref>Q30:Q34</xm:sqref>
        </x14:conditionalFormatting>
        <x14:conditionalFormatting xmlns:xm="http://schemas.microsoft.com/office/excel/2006/main">
          <x14:cfRule type="dataBar" id="{439BE09A-3B3C-4D30-82BE-49D26BC81339}">
            <x14:dataBar minLength="0" maxLength="100" border="1" negativeBarColorSameAsPositive="1">
              <x14:cfvo type="autoMin"/>
              <x14:cfvo type="autoMax"/>
              <x14:borderColor rgb="FF638EC6"/>
              <x14:axisColor rgb="FF000000"/>
            </x14:dataBar>
          </x14:cfRule>
          <xm:sqref>Q17:Q21</xm:sqref>
        </x14:conditionalFormatting>
        <x14:conditionalFormatting xmlns:xm="http://schemas.microsoft.com/office/excel/2006/main">
          <x14:cfRule type="dataBar" id="{16878C35-3B9D-4D91-A58E-992F4A791C96}">
            <x14:dataBar minLength="0" maxLength="100" border="1" negativeBarColorSameAsPositive="1" axisPosition="middle">
              <x14:cfvo type="autoMin"/>
              <x14:cfvo type="autoMax"/>
              <x14:borderColor rgb="FF638EC6"/>
              <x14:axisColor rgb="FF002060"/>
            </x14:dataBar>
          </x14:cfRule>
          <xm:sqref>M30:M34</xm:sqref>
        </x14:conditionalFormatting>
        <x14:conditionalFormatting xmlns:xm="http://schemas.microsoft.com/office/excel/2006/main">
          <x14:cfRule type="dataBar" id="{36C9D5D8-EF23-4EAB-9431-B05DEA7BA9CB}">
            <x14:dataBar minLength="0" maxLength="100" border="1" negativeBarColorSameAsPositive="1" axisPosition="middle">
              <x14:cfvo type="autoMin"/>
              <x14:cfvo type="autoMax"/>
              <x14:borderColor rgb="FF638EC6"/>
              <x14:axisColor rgb="FF002060"/>
            </x14:dataBar>
          </x14:cfRule>
          <xm:sqref>M36:M40</xm:sqref>
        </x14:conditionalFormatting>
        <x14:conditionalFormatting xmlns:xm="http://schemas.microsoft.com/office/excel/2006/main">
          <x14:cfRule type="dataBar" id="{AE27390C-287A-4850-806F-3AF27CB371BA}">
            <x14:dataBar minLength="0" maxLength="100" border="1" negativeBarColorSameAsPositive="1" axisPosition="middle">
              <x14:cfvo type="autoMin"/>
              <x14:cfvo type="autoMax"/>
              <x14:borderColor rgb="FF638EC6"/>
              <x14:axisColor rgb="FF000000"/>
            </x14:dataBar>
          </x14:cfRule>
          <xm:sqref>M17:M21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1"/>
  <sheetViews>
    <sheetView showGridLines="0" showRowColHeaders="0" zoomScaleNormal="100" workbookViewId="0">
      <selection activeCell="B6" sqref="B6"/>
    </sheetView>
  </sheetViews>
  <sheetFormatPr defaultColWidth="9.140625" defaultRowHeight="17.25" x14ac:dyDescent="0.3"/>
  <cols>
    <col min="1" max="1" width="2.7109375" style="1" customWidth="1"/>
    <col min="2" max="11" width="11.7109375" style="1" customWidth="1"/>
    <col min="12" max="12" width="5.7109375" style="1" customWidth="1"/>
    <col min="13" max="13" width="18.7109375" style="1" customWidth="1"/>
    <col min="14" max="14" width="5.7109375" style="1" customWidth="1"/>
    <col min="15" max="24" width="11.7109375" style="1" customWidth="1"/>
    <col min="25" max="26" width="9.140625" style="1"/>
    <col min="27" max="27" width="11.85546875" style="1" customWidth="1"/>
    <col min="28" max="28" width="11.7109375" style="1" customWidth="1"/>
    <col min="29" max="29" width="9.140625" style="1"/>
    <col min="30" max="30" width="21.28515625" style="1" customWidth="1"/>
    <col min="31" max="31" width="12" style="1" customWidth="1"/>
    <col min="32" max="16384" width="9.140625" style="1"/>
  </cols>
  <sheetData>
    <row r="1" spans="2:36" ht="3.95" customHeight="1" x14ac:dyDescent="0.3"/>
    <row r="2" spans="2:36" ht="21" customHeight="1" x14ac:dyDescent="0.3">
      <c r="B2" s="92" t="s">
        <v>21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4"/>
      <c r="Y2" s="27"/>
      <c r="Z2" s="27"/>
      <c r="AA2" s="27"/>
      <c r="AB2" s="27"/>
      <c r="AC2" s="27"/>
      <c r="AD2" s="27"/>
      <c r="AI2" s="26"/>
      <c r="AJ2" s="26"/>
    </row>
    <row r="3" spans="2:36" ht="21" customHeight="1" x14ac:dyDescent="0.3"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7"/>
      <c r="Y3" s="27"/>
      <c r="Z3" s="27"/>
      <c r="AA3" s="27"/>
      <c r="AB3" s="27"/>
      <c r="AC3" s="27"/>
      <c r="AD3" s="27"/>
      <c r="AI3" s="26"/>
      <c r="AJ3" s="26"/>
    </row>
    <row r="4" spans="2:36" ht="20.100000000000001" customHeight="1" x14ac:dyDescent="0.3">
      <c r="B4" s="69" t="s">
        <v>20</v>
      </c>
      <c r="C4" s="70"/>
      <c r="D4" s="70"/>
      <c r="E4" s="70"/>
      <c r="F4" s="75">
        <f>IF(RTD("cqg.rtd",,"ContractData",B6,"FirstNoticeDate",,"D")=2,"Cash Settlement",RTD("cqg.rtd",,"ContractData",B6,"FirstNoticeDate",,"D"))</f>
        <v>42429</v>
      </c>
      <c r="G4" s="75"/>
      <c r="H4" s="70" t="s">
        <v>18</v>
      </c>
      <c r="I4" s="70"/>
      <c r="J4" s="75">
        <f>RTD("cqg.rtd",,"ContractData",B6,"ExpirationDate",,"D")</f>
        <v>42451</v>
      </c>
      <c r="K4" s="75"/>
      <c r="L4" s="57"/>
      <c r="M4" s="57"/>
      <c r="N4" s="55"/>
      <c r="O4" s="70" t="s">
        <v>19</v>
      </c>
      <c r="P4" s="70"/>
      <c r="Q4" s="70"/>
      <c r="R4" s="70"/>
      <c r="S4" s="75">
        <f>IF(RTD("cqg.rtd",,"ContractData",O6,"FirstNoticeDate",,"D")=2,"Cash Settlement",RTD("cqg.rtd",,"ContractData",O6,"FirstNoticeDate",,"D"))</f>
        <v>42521</v>
      </c>
      <c r="T4" s="75"/>
      <c r="U4" s="70" t="s">
        <v>18</v>
      </c>
      <c r="V4" s="70"/>
      <c r="W4" s="75">
        <f>RTD("cqg.rtd",,"ContractData",O6,"ExpirationDate",,"D")</f>
        <v>42542</v>
      </c>
      <c r="X4" s="75"/>
      <c r="Y4" s="24"/>
      <c r="Z4" s="24"/>
      <c r="AA4" s="24"/>
      <c r="AB4" s="24"/>
      <c r="AC4" s="24"/>
      <c r="AD4" s="24"/>
      <c r="AE4" s="24"/>
    </row>
    <row r="5" spans="2:36" ht="20.100000000000001" customHeight="1" x14ac:dyDescent="0.3">
      <c r="B5" s="44" t="s">
        <v>16</v>
      </c>
      <c r="C5" s="44" t="s">
        <v>15</v>
      </c>
      <c r="D5" s="44" t="s">
        <v>14</v>
      </c>
      <c r="E5" s="44" t="s">
        <v>13</v>
      </c>
      <c r="F5" s="44" t="s">
        <v>12</v>
      </c>
      <c r="G5" s="44" t="s">
        <v>11</v>
      </c>
      <c r="H5" s="45" t="s">
        <v>10</v>
      </c>
      <c r="I5" s="44" t="s">
        <v>9</v>
      </c>
      <c r="J5" s="44" t="s">
        <v>8</v>
      </c>
      <c r="K5" s="45" t="s">
        <v>17</v>
      </c>
      <c r="L5" s="81" t="s">
        <v>23</v>
      </c>
      <c r="M5" s="82"/>
      <c r="N5" s="83"/>
      <c r="O5" s="44" t="s">
        <v>16</v>
      </c>
      <c r="P5" s="44" t="s">
        <v>15</v>
      </c>
      <c r="Q5" s="44" t="s">
        <v>14</v>
      </c>
      <c r="R5" s="44" t="s">
        <v>13</v>
      </c>
      <c r="S5" s="44" t="s">
        <v>12</v>
      </c>
      <c r="T5" s="44" t="s">
        <v>11</v>
      </c>
      <c r="U5" s="44" t="s">
        <v>10</v>
      </c>
      <c r="V5" s="44" t="s">
        <v>9</v>
      </c>
      <c r="W5" s="44" t="s">
        <v>8</v>
      </c>
      <c r="X5" s="44" t="s">
        <v>7</v>
      </c>
    </row>
    <row r="6" spans="2:36" ht="20.100000000000001" customHeight="1" x14ac:dyDescent="0.3">
      <c r="B6" s="46" t="s">
        <v>22</v>
      </c>
      <c r="C6" s="47" t="str">
        <f>RTD("cqg.rtd",,"ContractData",B6,"LastPrice",,"F")</f>
        <v>13030+û</v>
      </c>
      <c r="D6" s="47" t="str">
        <f>RTD("cqg.rtd",,"ContractData",B6,"NetChange",,"F")</f>
        <v>-3+</v>
      </c>
      <c r="E6" s="47" t="str">
        <f>RTD("cqg.rtd",,"ContractData",B6,"Open",,"F")</f>
        <v>13031+</v>
      </c>
      <c r="F6" s="47" t="str">
        <f>RTD("cqg.rtd",,"ContractData",B6,"High",,"F")</f>
        <v>131050</v>
      </c>
      <c r="G6" s="47" t="str">
        <f>RTD("cqg.rtd",,"ContractData",B6,"Low",,"F")</f>
        <v>130200</v>
      </c>
      <c r="H6" s="47">
        <f>RTD("cqg.rtd",,"ContractData",B6,"VolumeLastBid",,"F")</f>
        <v>1921</v>
      </c>
      <c r="I6" s="47" t="str">
        <f>RTD("cqg.rtd",,"ContractData",B6,"Bid",,"F")</f>
        <v>130300</v>
      </c>
      <c r="J6" s="47" t="str">
        <f>RTD("cqg.rtd",,"ContractData",B6,"Ask",,"F")</f>
        <v>13030+</v>
      </c>
      <c r="K6" s="47">
        <f>RTD("cqg.rtd",,"ContractData",B6,"VolumeLAstAsk",,"F")</f>
        <v>298</v>
      </c>
      <c r="L6" s="84" t="s">
        <v>24</v>
      </c>
      <c r="M6" s="85"/>
      <c r="N6" s="86"/>
      <c r="O6" s="48" t="s">
        <v>29</v>
      </c>
      <c r="P6" s="47" t="str">
        <f>RTD("cqg.rtd",,"ContractData",O6,"LastPrice",,"F")</f>
        <v>130180ú</v>
      </c>
      <c r="Q6" s="47" t="str">
        <f>RTD("cqg.rtd",,"ContractData",O6,"NetChange",,"F")</f>
        <v>-40</v>
      </c>
      <c r="R6" s="47" t="str">
        <f>RTD("cqg.rtd",,"ContractData",O6,"Open",,"F")</f>
        <v>13020+</v>
      </c>
      <c r="S6" s="47" t="str">
        <f>RTD("cqg.rtd",,"ContractData",O6,"High",,"F")</f>
        <v>130250</v>
      </c>
      <c r="T6" s="47" t="str">
        <f>RTD("cqg.rtd",,"ContractData",O6,"Low",,"F")</f>
        <v>130080</v>
      </c>
      <c r="U6" s="47">
        <f>RTD("cqg.rtd",,"ContractData",O6,"VolumeLastBid",,"F")</f>
        <v>151</v>
      </c>
      <c r="V6" s="47" t="str">
        <f>RTD("cqg.rtd",,"ContractData",O6,"Bid",,"F")</f>
        <v>130180</v>
      </c>
      <c r="W6" s="47" t="str">
        <f>RTD("cqg.rtd",,"ContractData",O6,"Ask",,"F")</f>
        <v>130190</v>
      </c>
      <c r="X6" s="47">
        <f>RTD("cqg.rtd",,"ContractData",O6,"VolumeLAstAsk",,"F")</f>
        <v>389</v>
      </c>
    </row>
    <row r="7" spans="2:36" ht="2.1" customHeight="1" x14ac:dyDescent="0.3">
      <c r="B7" s="23" t="s">
        <v>22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2:36" ht="2.1" customHeight="1" x14ac:dyDescent="0.3">
      <c r="B8" s="22"/>
      <c r="C8" s="19"/>
      <c r="D8" s="19"/>
      <c r="E8" s="18"/>
      <c r="F8" s="18"/>
      <c r="G8" s="18"/>
      <c r="H8" s="18"/>
      <c r="I8" s="18"/>
      <c r="J8" s="18"/>
      <c r="K8" s="18"/>
      <c r="L8" s="18"/>
      <c r="M8" s="18"/>
      <c r="N8" s="21"/>
      <c r="O8" s="20"/>
      <c r="P8" s="19"/>
      <c r="Q8" s="19"/>
      <c r="R8" s="18"/>
      <c r="S8" s="18"/>
      <c r="T8" s="18"/>
      <c r="U8" s="18"/>
      <c r="V8" s="18"/>
      <c r="W8" s="18"/>
    </row>
    <row r="9" spans="2:36" ht="27.95" customHeight="1" x14ac:dyDescent="0.3">
      <c r="B9" s="61" t="str">
        <f>"First Contract: "&amp;RTD("cqg.rtd", ,"ContractData",$B$6, "LongDescription")</f>
        <v>First Contract: 10yr US Treasury Notes (Globex), Mar 16</v>
      </c>
      <c r="C9" s="62"/>
      <c r="D9" s="62"/>
      <c r="E9" s="62"/>
      <c r="F9" s="62"/>
      <c r="G9" s="62"/>
      <c r="H9" s="63"/>
      <c r="I9" s="67" t="str">
        <f>RTD("cqg.rtd", ,"ContractData",$B$6, "Symbol")</f>
        <v>TYAH6</v>
      </c>
      <c r="J9" s="68"/>
      <c r="K9" s="68"/>
      <c r="L9" s="61" t="s">
        <v>25</v>
      </c>
      <c r="M9" s="62"/>
      <c r="N9" s="63"/>
      <c r="O9" s="67" t="str">
        <f>RTD("cqg.rtd", ,"ContractData",$O$6, "Symbol")</f>
        <v>TYAM6</v>
      </c>
      <c r="P9" s="68"/>
      <c r="Q9" s="76"/>
      <c r="R9" s="61" t="str">
        <f>"First Contract: "&amp;RTD("cqg.rtd", ,"ContractData",$B$6, "LongDescription")</f>
        <v>First Contract: 10yr US Treasury Notes (Globex), Mar 16</v>
      </c>
      <c r="S9" s="62"/>
      <c r="T9" s="62"/>
      <c r="U9" s="62"/>
      <c r="V9" s="62"/>
      <c r="W9" s="62"/>
      <c r="X9" s="63"/>
      <c r="Y9" s="17"/>
    </row>
    <row r="10" spans="2:36" ht="27.95" customHeight="1" x14ac:dyDescent="0.3">
      <c r="B10" s="64" t="str">
        <f>"Second Contract: "&amp;RTD("cqg.rtd", ,"ContractData",$O$6, "LongDescription")</f>
        <v>Second Contract: 10yr US Treasury Notes (Globex), Jun 16</v>
      </c>
      <c r="C10" s="65"/>
      <c r="D10" s="65"/>
      <c r="E10" s="65"/>
      <c r="F10" s="65"/>
      <c r="G10" s="65"/>
      <c r="H10" s="66"/>
      <c r="I10" s="58" t="s">
        <v>6</v>
      </c>
      <c r="J10" s="59"/>
      <c r="K10" s="60"/>
      <c r="L10" s="87" t="s">
        <v>26</v>
      </c>
      <c r="M10" s="88"/>
      <c r="N10" s="89"/>
      <c r="O10" s="58" t="s">
        <v>6</v>
      </c>
      <c r="P10" s="59"/>
      <c r="Q10" s="60"/>
      <c r="R10" s="64" t="str">
        <f>"Second Contract: "&amp;RTD("cqg.rtd", ,"ContractData",$O$6, "LongDescription")</f>
        <v>Second Contract: 10yr US Treasury Notes (Globex), Jun 16</v>
      </c>
      <c r="S10" s="65"/>
      <c r="T10" s="65"/>
      <c r="U10" s="65"/>
      <c r="V10" s="65"/>
      <c r="W10" s="65"/>
      <c r="X10" s="66"/>
      <c r="Y10" s="16"/>
      <c r="Z10" s="7"/>
    </row>
    <row r="11" spans="2:36" ht="21" customHeight="1" x14ac:dyDescent="0.3">
      <c r="B11" s="30"/>
      <c r="C11" s="31"/>
      <c r="D11" s="34"/>
      <c r="E11" s="38"/>
      <c r="F11" s="38"/>
      <c r="G11" s="39"/>
      <c r="H11" s="14"/>
      <c r="I11" s="13">
        <f>J11</f>
        <v>1463</v>
      </c>
      <c r="J11" s="10">
        <f>RTD("cqg.rtd",,"DOMData",$B$6,"Volume","5","T")</f>
        <v>1463</v>
      </c>
      <c r="K11" s="9">
        <f>RTD("cqg.rtd",,"DOMData",$B$6,"Price","5")</f>
        <v>131005</v>
      </c>
      <c r="L11" s="29"/>
      <c r="M11" s="41">
        <f>IF(ISERROR(P11-J11),"",P11-J11)</f>
        <v>-1102</v>
      </c>
      <c r="N11" s="28"/>
      <c r="O11" s="52">
        <f>RTD("cqg.rtd",,"DOMData",$O$6,"Price","5")</f>
        <v>130210</v>
      </c>
      <c r="P11" s="10">
        <f>RTD("cqg.rtd",,"DOMData",$O$6,"Volume","5","T")</f>
        <v>361</v>
      </c>
      <c r="Q11" s="43">
        <f>IF(P11="","",P11*-1)</f>
        <v>-361</v>
      </c>
      <c r="Y11" s="8"/>
      <c r="Z11" s="7"/>
      <c r="AA11" s="2">
        <f>RTD("cqg.rtd",,"StudyData",$O$6, "Vol", "VolType=auto,CoCType=Contract", "Vol","D","0","ALL",,,"TRUE","T")</f>
        <v>26247</v>
      </c>
      <c r="AB11" s="2">
        <f>RTD("cqg.rtd",,"StudyData",$B$6, "Vol", "VolType=auto,CoCType=Contract", "Vol","D","0","ALL",,,"TRUE","T")</f>
        <v>1103532</v>
      </c>
      <c r="AC11" s="2" t="s">
        <v>5</v>
      </c>
      <c r="AD11" s="2" t="e">
        <f>IF(RTD("cqg.rtd",,"StudyData",$B$6,"VolOI","OIType=Contract","OI","D","-1","all",,,,"T")="",NA(),RTD("cqg.rtd",,"StudyData",$B$6,"VolOI","OIType=Contract","OI","D","-1","all",,,,"T"))</f>
        <v>#N/A</v>
      </c>
      <c r="AE11" s="2" t="e">
        <f>IF(RTD("cqg.rtd",,"StudyData",$O$6,"VolOI","OIType=Contract","OI","D","-1","all",,,,"T")="",NA(),RTD("cqg.rtd",,"StudyData",$O$6,"VolOI","OIType=Contract","OI","D","-1","all",,,,"T"))</f>
        <v>#N/A</v>
      </c>
      <c r="AF11" s="2" t="s">
        <v>4</v>
      </c>
    </row>
    <row r="12" spans="2:36" ht="21" customHeight="1" x14ac:dyDescent="0.3">
      <c r="B12" s="8"/>
      <c r="C12" s="3"/>
      <c r="D12" s="35"/>
      <c r="E12" s="7"/>
      <c r="F12" s="7"/>
      <c r="G12" s="7"/>
      <c r="H12" s="7"/>
      <c r="I12" s="12">
        <f>J12</f>
        <v>2088</v>
      </c>
      <c r="J12" s="10">
        <f>RTD("cqg.rtd",,"DOMData",$B$6,"Volume","4","T")</f>
        <v>2088</v>
      </c>
      <c r="K12" s="9">
        <f>RTD("cqg.rtd",,"DOMData",$B$6,"Price","4")</f>
        <v>131000</v>
      </c>
      <c r="L12" s="8"/>
      <c r="M12" s="42">
        <f t="shared" ref="M12:M15" si="0">IF(ISERROR(P12-J12),"",P12-J12)</f>
        <v>-1616</v>
      </c>
      <c r="N12" s="28"/>
      <c r="O12" s="52">
        <f>RTD("cqg.rtd",,"DOMData",$O$6,"Price","4")</f>
        <v>130205</v>
      </c>
      <c r="P12" s="10">
        <f>RTD("cqg.rtd",,"DOMData",$O$6,"Volume","4","T")</f>
        <v>472</v>
      </c>
      <c r="Q12" s="43">
        <f t="shared" ref="Q12:Q15" si="1">IF(P12="","",P12*-1)</f>
        <v>-472</v>
      </c>
      <c r="Y12" s="8"/>
      <c r="Z12" s="7"/>
      <c r="AA12" s="2">
        <f>RTD("cqg.rtd",,"StudyData",$O$6, "Vol", "VolType=auto,CoCType=Contract", "Vol","D","-1","ALL",,,"TRUE","T")</f>
        <v>38481</v>
      </c>
      <c r="AB12" s="2">
        <f>RTD("cqg.rtd",,"StudyData",$B$6, "Vol", "VolType=auto,CoCType=Contract", "Vol","D","-1","ALL",,,"TRUE","T")</f>
        <v>1727313</v>
      </c>
      <c r="AC12" s="2">
        <v>-1</v>
      </c>
      <c r="AD12" s="2">
        <f>IF(RTD("cqg.rtd",,"StudyData",$B$6,"VolOI","OIType=Contract","OI","D",AF12,"all",,,,"T")="",NA(),RTD("cqg.rtd",,"StudyData",$B$6,"VolOI","OIType=Contract","OI","D",AF12,"all",,,,"T"))</f>
        <v>2969999</v>
      </c>
      <c r="AE12" s="2">
        <f>IF(RTD("cqg.rtd",,"StudyData",$O$6,"VolOI","OIType=Contract","OI","D",AF12,"all",,,,"T")="",NA(),RTD("cqg.rtd",,"StudyData",$O$6,"VolOI","OIType=Contract","OI","D",AF12,"all",,,,"T"))</f>
        <v>163241</v>
      </c>
      <c r="AF12" s="2">
        <v>-2</v>
      </c>
    </row>
    <row r="13" spans="2:36" ht="21" customHeight="1" x14ac:dyDescent="0.3">
      <c r="B13" s="8"/>
      <c r="C13" s="3"/>
      <c r="D13" s="35"/>
      <c r="E13" s="7"/>
      <c r="F13" s="7"/>
      <c r="G13" s="7"/>
      <c r="H13" s="7"/>
      <c r="I13" s="12">
        <f>J13</f>
        <v>2497</v>
      </c>
      <c r="J13" s="10">
        <f>RTD("cqg.rtd",,"DOMData",$B$6,"Volume","3","T")</f>
        <v>2497</v>
      </c>
      <c r="K13" s="9">
        <f>RTD("cqg.rtd",,"DOMData",$B$6,"Price","3")</f>
        <v>130315</v>
      </c>
      <c r="L13" s="8"/>
      <c r="M13" s="42">
        <f t="shared" si="0"/>
        <v>-2080</v>
      </c>
      <c r="N13" s="28"/>
      <c r="O13" s="52">
        <f>RTD("cqg.rtd",,"DOMData",$O$6,"Price","3")</f>
        <v>130200</v>
      </c>
      <c r="P13" s="10">
        <f>RTD("cqg.rtd",,"DOMData",$O$6,"Volume","3","T")</f>
        <v>417</v>
      </c>
      <c r="Q13" s="43">
        <f t="shared" si="1"/>
        <v>-417</v>
      </c>
      <c r="Y13" s="8"/>
      <c r="Z13" s="7"/>
      <c r="AA13" s="2">
        <f>RTD("cqg.rtd",,"StudyData",$O$6, "Vol", "VolType=auto,CoCType=Contract", "Vol","D","-2","ALL",,,"TRUE","T")</f>
        <v>48375</v>
      </c>
      <c r="AB13" s="2">
        <f>RTD("cqg.rtd",,"StudyData",$B$6, "Vol", "VolType=auto,CoCType=Contract", "Vol","D","-2","ALL",,,"TRUE","T")</f>
        <v>2468876</v>
      </c>
      <c r="AC13" s="2">
        <v>-2</v>
      </c>
      <c r="AD13" s="2">
        <f>IF(RTD("cqg.rtd",,"StudyData",$B$6,"VolOI","OIType=Contract","OI","D",AF13,"all",,,,"T")="",NA(),RTD("cqg.rtd",,"StudyData",$B$6,"VolOI","OIType=Contract","OI","D",AF13,"all",,,,"T"))</f>
        <v>2933408</v>
      </c>
      <c r="AE13" s="2">
        <f>IF(RTD("cqg.rtd",,"StudyData",$O$6,"VolOI","OIType=Contract","OI","D",AF13,"all",,,,"T")="",NA(),RTD("cqg.rtd",,"StudyData",$O$6,"VolOI","OIType=Contract","OI","D",AF13,"all",,,,"T"))</f>
        <v>124715</v>
      </c>
      <c r="AF13" s="2">
        <v>-3</v>
      </c>
    </row>
    <row r="14" spans="2:36" ht="21" customHeight="1" x14ac:dyDescent="0.3">
      <c r="B14" s="8"/>
      <c r="C14" s="3"/>
      <c r="D14" s="35"/>
      <c r="E14" s="7"/>
      <c r="F14" s="7"/>
      <c r="G14" s="7"/>
      <c r="H14" s="7"/>
      <c r="I14" s="12">
        <f>J14</f>
        <v>1580</v>
      </c>
      <c r="J14" s="10">
        <f>RTD("cqg.rtd",,"DOMData",$B$6,"Volume","2","T")</f>
        <v>1580</v>
      </c>
      <c r="K14" s="9">
        <f>RTD("cqg.rtd",,"DOMData",$B$6,"Price","2")</f>
        <v>130310</v>
      </c>
      <c r="L14" s="8"/>
      <c r="M14" s="42">
        <f t="shared" si="0"/>
        <v>-1159</v>
      </c>
      <c r="N14" s="28"/>
      <c r="O14" s="52">
        <f>RTD("cqg.rtd",,"DOMData",$O$6,"Price","2")</f>
        <v>130195</v>
      </c>
      <c r="P14" s="10">
        <f>RTD("cqg.rtd",,"DOMData",$O$6,"Volume","2","T")</f>
        <v>421</v>
      </c>
      <c r="Q14" s="43">
        <f t="shared" si="1"/>
        <v>-421</v>
      </c>
      <c r="Y14" s="8"/>
      <c r="Z14" s="7"/>
      <c r="AA14" s="2">
        <f>RTD("cqg.rtd",,"StudyData",$O$6, "Vol", "VolType=auto,CoCType=Contract", "Vol","D","-3","ALL",,,"TRUE","T")</f>
        <v>41849</v>
      </c>
      <c r="AB14" s="2">
        <f>RTD("cqg.rtd",,"StudyData",$B$6, "Vol", "VolType=auto,CoCType=Contract", "Vol","D","-3","ALL",,,"TRUE","T")</f>
        <v>1781823</v>
      </c>
      <c r="AC14" s="2">
        <v>-3</v>
      </c>
      <c r="AD14" s="2">
        <f>IF(RTD("cqg.rtd",,"StudyData",$B$6,"VolOI","OIType=Contract","OI","D",AF14,"all",,,,"T")="",NA(),RTD("cqg.rtd",,"StudyData",$B$6,"VolOI","OIType=Contract","OI","D",AF14,"all",,,,"T"))</f>
        <v>2923228</v>
      </c>
      <c r="AE14" s="2">
        <f>IF(RTD("cqg.rtd",,"StudyData",$O$6,"VolOI","OIType=Contract","OI","D",AF14,"all",,,,"T")="",NA(),RTD("cqg.rtd",,"StudyData",$O$6,"VolOI","OIType=Contract","OI","D",AF14,"all",,,,"T"))</f>
        <v>110882</v>
      </c>
      <c r="AF14" s="2">
        <v>-4</v>
      </c>
    </row>
    <row r="15" spans="2:36" ht="21" customHeight="1" x14ac:dyDescent="0.3">
      <c r="B15" s="8"/>
      <c r="C15" s="3"/>
      <c r="D15" s="35"/>
      <c r="E15" s="7"/>
      <c r="F15" s="7"/>
      <c r="G15" s="7"/>
      <c r="H15" s="7"/>
      <c r="I15" s="12">
        <f>J15</f>
        <v>298</v>
      </c>
      <c r="J15" s="10">
        <f>RTD("cqg.rtd",,"DOMData",$B$6,"Volume","1","T")</f>
        <v>298</v>
      </c>
      <c r="K15" s="9">
        <f>RTD("cqg.rtd",,"DOMData",$B$6,"Price","1")</f>
        <v>130305</v>
      </c>
      <c r="L15" s="8"/>
      <c r="M15" s="42">
        <f t="shared" si="0"/>
        <v>91</v>
      </c>
      <c r="N15" s="28"/>
      <c r="O15" s="52">
        <f>RTD("cqg.rtd",,"DOMData",$O$6,"Price","1")</f>
        <v>130190</v>
      </c>
      <c r="P15" s="10">
        <f>RTD("cqg.rtd",,"DOMData",$O$6,"Volume","1","T")</f>
        <v>389</v>
      </c>
      <c r="Q15" s="43">
        <f t="shared" si="1"/>
        <v>-389</v>
      </c>
      <c r="Y15" s="8"/>
      <c r="Z15" s="7"/>
      <c r="AA15" s="2">
        <f>RTD("cqg.rtd",,"StudyData",$O$6, "Vol", "VolType=auto,CoCType=Contract", "Vol","D","-4","ALL",,,"TRUE","T")</f>
        <v>43446</v>
      </c>
      <c r="AB15" s="2">
        <f>RTD("cqg.rtd",,"StudyData",$B$6, "Vol", "VolType=auto,CoCType=Contract", "Vol","D","-4","ALL",,,"TRUE","T")</f>
        <v>1993045</v>
      </c>
      <c r="AC15" s="2">
        <v>-4</v>
      </c>
      <c r="AD15" s="2">
        <f>IF(RTD("cqg.rtd",,"StudyData",$B$6,"VolOI","OIType=Contract","OI","D",AF15,"all",,,,"T")="",NA(),RTD("cqg.rtd",,"StudyData",$B$6,"VolOI","OIType=Contract","OI","D",AF15,"all",,,,"T"))</f>
        <v>2932255</v>
      </c>
      <c r="AE15" s="2">
        <f>IF(RTD("cqg.rtd",,"StudyData",$O$6,"VolOI","OIType=Contract","OI","D",AF15,"all",,,,"T")="",NA(),RTD("cqg.rtd",,"StudyData",$O$6,"VolOI","OIType=Contract","OI","D",AF15,"all",,,,"T"))</f>
        <v>91545</v>
      </c>
      <c r="AF15" s="2">
        <v>-5</v>
      </c>
    </row>
    <row r="16" spans="2:36" ht="21" customHeight="1" x14ac:dyDescent="0.3">
      <c r="B16" s="90"/>
      <c r="C16" s="91"/>
      <c r="D16" s="36"/>
      <c r="E16" s="7"/>
      <c r="F16" s="7"/>
      <c r="G16" s="7"/>
      <c r="H16" s="7"/>
      <c r="I16" s="77" t="s">
        <v>3</v>
      </c>
      <c r="J16" s="78"/>
      <c r="K16" s="51">
        <f>RTD("cqg.rtd",,"ContractData",B6,"LastTradeorSettle",,"D")</f>
        <v>130300</v>
      </c>
      <c r="L16" s="8"/>
      <c r="M16" s="53">
        <f>RTD("cqg.rtd",,"ContractData",O6,"MT_LastTradeOrSettlementVolume")-RTD("cqg.rtd",,"ContractData",B6,"MT_LastTradeOrSettlementVolume")</f>
        <v>-1</v>
      </c>
      <c r="N16" s="28"/>
      <c r="O16" s="50">
        <f>RTD("cqg.rtd",,"ContractData",O6,"LastTradeorSettle",,"D")</f>
        <v>130180</v>
      </c>
      <c r="P16" s="79" t="s">
        <v>3</v>
      </c>
      <c r="Q16" s="80"/>
      <c r="Y16" s="8"/>
      <c r="Z16" s="7"/>
      <c r="AA16" s="2">
        <f>RTD("cqg.rtd",,"StudyData",$O$6, "Vol", "VolType=auto,CoCType=Contract", "Vol","D","-5","ALL",,,"TRUE","T")</f>
        <v>13968</v>
      </c>
      <c r="AB16" s="2">
        <f>RTD("cqg.rtd",,"StudyData",$B$6, "Vol", "VolType=auto,CoCType=Contract", "Vol","D","-5","ALL",,,"TRUE","T")</f>
        <v>1675081</v>
      </c>
      <c r="AC16" s="2">
        <v>-5</v>
      </c>
      <c r="AD16" s="2">
        <f>IF(RTD("cqg.rtd",,"StudyData",$B$6,"VolOI","OIType=Contract","OI","D",AF16,"all",,,,"T")="",NA(),RTD("cqg.rtd",,"StudyData",$B$6,"VolOI","OIType=Contract","OI","D",AF16,"all",,,,"T"))</f>
        <v>2929461</v>
      </c>
      <c r="AE16" s="2">
        <f>IF(RTD("cqg.rtd",,"StudyData",$O$6,"VolOI","OIType=Contract","OI","D",AF16,"all",,,,"T")="",NA(),RTD("cqg.rtd",,"StudyData",$O$6,"VolOI","OIType=Contract","OI","D",AF16,"all",,,,"T"))</f>
        <v>87974</v>
      </c>
      <c r="AF16" s="2">
        <v>-6</v>
      </c>
    </row>
    <row r="17" spans="2:32" ht="21" customHeight="1" x14ac:dyDescent="0.3">
      <c r="B17" s="8"/>
      <c r="C17" s="3"/>
      <c r="D17" s="35"/>
      <c r="E17" s="7"/>
      <c r="F17" s="7"/>
      <c r="G17" s="7"/>
      <c r="H17" s="7"/>
      <c r="I17" s="12">
        <f>J17</f>
        <v>1921</v>
      </c>
      <c r="J17" s="10">
        <f>RTD("cqg.rtd",,"DOMData",$B$6,"Volume","-1","T")</f>
        <v>1921</v>
      </c>
      <c r="K17" s="9">
        <f>RTD("cqg.rtd",,"DOMData",$B$6,"Price","-1")</f>
        <v>130300</v>
      </c>
      <c r="L17" s="8"/>
      <c r="M17" s="42">
        <f>IF(ISERROR(P17-J17),"",P17-J17)</f>
        <v>-1770</v>
      </c>
      <c r="N17" s="28"/>
      <c r="O17" s="52">
        <f>RTD("cqg.rtd",,"DOMData",$B$6,"Price","-1")</f>
        <v>130300</v>
      </c>
      <c r="P17" s="10">
        <f>RTD("cqg.rtd",,"DOMData",$O$6,"Volume","-1","T")</f>
        <v>151</v>
      </c>
      <c r="Q17" s="43">
        <f t="shared" ref="Q17:Q21" si="2">IF(P17="","",P17*-1)</f>
        <v>-151</v>
      </c>
      <c r="Y17" s="8"/>
      <c r="Z17" s="7"/>
      <c r="AA17" s="2">
        <f>RTD("cqg.rtd",,"StudyData",$O$6, "Vol", "VolType=auto,CoCType=Contract", "Vol","D","-6","ALL",,,"TRUE","T")</f>
        <v>11200</v>
      </c>
      <c r="AB17" s="2">
        <f>RTD("cqg.rtd",,"StudyData",$B$6, "Vol", "VolType=auto,CoCType=Contract", "Vol","D","-6","ALL",,,"TRUE","T")</f>
        <v>1837286</v>
      </c>
      <c r="AC17" s="2">
        <v>-6</v>
      </c>
      <c r="AD17" s="2">
        <f>IF(RTD("cqg.rtd",,"StudyData",$B$6,"VolOI","OIType=Contract","OI","D",AF17,"all",,,,"T")="",NA(),RTD("cqg.rtd",,"StudyData",$B$6,"VolOI","OIType=Contract","OI","D",AF17,"all",,,,"T"))</f>
        <v>2941404</v>
      </c>
      <c r="AE17" s="2">
        <f>IF(RTD("cqg.rtd",,"StudyData",$O$6,"VolOI","OIType=Contract","OI","D",AF17,"all",,,,"T")="",NA(),RTD("cqg.rtd",,"StudyData",$O$6,"VolOI","OIType=Contract","OI","D",AF17,"all",,,,"T"))</f>
        <v>83638</v>
      </c>
      <c r="AF17" s="2">
        <v>-7</v>
      </c>
    </row>
    <row r="18" spans="2:32" ht="21" customHeight="1" x14ac:dyDescent="0.3">
      <c r="B18" s="8"/>
      <c r="C18" s="3"/>
      <c r="D18" s="35"/>
      <c r="E18" s="7"/>
      <c r="F18" s="7"/>
      <c r="G18" s="7"/>
      <c r="H18" s="7"/>
      <c r="I18" s="12">
        <f>J18</f>
        <v>1701</v>
      </c>
      <c r="J18" s="10">
        <f>RTD("cqg.rtd",,"DOMData",$B$6,"Volume","-2","T")</f>
        <v>1701</v>
      </c>
      <c r="K18" s="9">
        <f>RTD("cqg.rtd",,"DOMData",$B$6,"Price","-2")</f>
        <v>130295</v>
      </c>
      <c r="L18" s="8"/>
      <c r="M18" s="42">
        <f t="shared" ref="M18:M20" si="3">IF(ISERROR(P18-J18),"",P18-J18)</f>
        <v>-1280</v>
      </c>
      <c r="N18" s="28"/>
      <c r="O18" s="52">
        <f>RTD("cqg.rtd",,"DOMData",$B$6,"Price","-2")</f>
        <v>130295</v>
      </c>
      <c r="P18" s="10">
        <f>RTD("cqg.rtd",,"DOMData",$O$6,"Volume","-2","T")</f>
        <v>421</v>
      </c>
      <c r="Q18" s="43">
        <f t="shared" si="2"/>
        <v>-421</v>
      </c>
      <c r="Y18" s="8"/>
      <c r="Z18" s="7"/>
      <c r="AA18" s="2">
        <f>RTD("cqg.rtd",,"StudyData",$O$6, "Vol", "VolType=auto,CoCType=Contract", "Vol","D","-7","ALL",,,"TRUE","T")</f>
        <v>18087</v>
      </c>
      <c r="AB18" s="2">
        <f>RTD("cqg.rtd",,"StudyData",$B$6, "Vol", "VolType=auto,CoCType=Contract", "Vol","D","-7","ALL",,,"TRUE","T")</f>
        <v>1708898</v>
      </c>
      <c r="AC18" s="2">
        <v>-7</v>
      </c>
      <c r="AD18" s="2">
        <f>IF(RTD("cqg.rtd",,"StudyData",$B$6,"VolOI","OIType=Contract","OI","D",AF18,"all",,,,"T")="",NA(),RTD("cqg.rtd",,"StudyData",$B$6,"VolOI","OIType=Contract","OI","D",AF18,"all",,,,"T"))</f>
        <v>2913524</v>
      </c>
      <c r="AE18" s="2">
        <f>IF(RTD("cqg.rtd",,"StudyData",$O$6,"VolOI","OIType=Contract","OI","D",AF18,"all",,,,"T")="",NA(),RTD("cqg.rtd",,"StudyData",$O$6,"VolOI","OIType=Contract","OI","D",AF18,"all",,,,"T"))</f>
        <v>78189</v>
      </c>
      <c r="AF18" s="2">
        <v>-8</v>
      </c>
    </row>
    <row r="19" spans="2:32" ht="21" customHeight="1" x14ac:dyDescent="0.3">
      <c r="B19" s="8"/>
      <c r="C19" s="3"/>
      <c r="D19" s="35"/>
      <c r="E19" s="7"/>
      <c r="F19" s="7"/>
      <c r="G19" s="7"/>
      <c r="H19" s="7"/>
      <c r="I19" s="12">
        <f>J19</f>
        <v>1754</v>
      </c>
      <c r="J19" s="10">
        <f>RTD("cqg.rtd",,"DOMData",$B$6,"Volume","-3","T")</f>
        <v>1754</v>
      </c>
      <c r="K19" s="9">
        <f>RTD("cqg.rtd",,"DOMData",$B$6,"Price","-3")</f>
        <v>130290</v>
      </c>
      <c r="L19" s="8"/>
      <c r="M19" s="42">
        <f t="shared" si="3"/>
        <v>-1333</v>
      </c>
      <c r="N19" s="28"/>
      <c r="O19" s="52">
        <f>RTD("cqg.rtd",,"DOMData",$B$6,"Price","-3")</f>
        <v>130290</v>
      </c>
      <c r="P19" s="10">
        <f>RTD("cqg.rtd",,"DOMData",$O$6,"Volume","-3","T")</f>
        <v>421</v>
      </c>
      <c r="Q19" s="43">
        <f t="shared" si="2"/>
        <v>-421</v>
      </c>
      <c r="Y19" s="8"/>
      <c r="Z19" s="7"/>
      <c r="AA19" s="2">
        <f>RTD("cqg.rtd",,"StudyData",$O$6, "Vol", "VolType=auto,CoCType=Contract", "Vol","D","-8","ALL",,,"TRUE","T")</f>
        <v>19958</v>
      </c>
      <c r="AB19" s="2">
        <f>RTD("cqg.rtd",,"StudyData",$B$6, "Vol", "VolType=auto,CoCType=Contract", "Vol","D","-8","ALL",,,"TRUE","T")</f>
        <v>1998839</v>
      </c>
      <c r="AC19" s="2">
        <v>-8</v>
      </c>
      <c r="AD19" s="2">
        <f>IF(RTD("cqg.rtd",,"StudyData",$B$6,"VolOI","OIType=Contract","OI","D",AF19,"all",,,,"T")="",NA(),RTD("cqg.rtd",,"StudyData",$B$6,"VolOI","OIType=Contract","OI","D",AF19,"all",,,,"T"))</f>
        <v>2913247</v>
      </c>
      <c r="AE19" s="2">
        <f>IF(RTD("cqg.rtd",,"StudyData",$O$6,"VolOI","OIType=Contract","OI","D",AF19,"all",,,,"T")="",NA(),RTD("cqg.rtd",,"StudyData",$O$6,"VolOI","OIType=Contract","OI","D",AF19,"all",,,,"T"))</f>
        <v>71249</v>
      </c>
      <c r="AF19" s="2">
        <v>-9</v>
      </c>
    </row>
    <row r="20" spans="2:32" ht="21" customHeight="1" x14ac:dyDescent="0.3">
      <c r="B20" s="8"/>
      <c r="C20" s="3"/>
      <c r="D20" s="35"/>
      <c r="E20" s="7"/>
      <c r="F20" s="7"/>
      <c r="G20" s="7"/>
      <c r="H20" s="7"/>
      <c r="I20" s="12">
        <f>J20</f>
        <v>1725</v>
      </c>
      <c r="J20" s="10">
        <f>RTD("cqg.rtd",,"DOMData",$B$6,"Volume","-4","T")</f>
        <v>1725</v>
      </c>
      <c r="K20" s="9">
        <f>RTD("cqg.rtd",,"DOMData",$B$6,"Price","-4")</f>
        <v>130285</v>
      </c>
      <c r="L20" s="8"/>
      <c r="M20" s="42">
        <f t="shared" si="3"/>
        <v>-1193</v>
      </c>
      <c r="N20" s="28"/>
      <c r="O20" s="52">
        <f>RTD("cqg.rtd",,"DOMData",$B$6,"Price","-4")</f>
        <v>130285</v>
      </c>
      <c r="P20" s="10">
        <f>RTD("cqg.rtd",,"DOMData",$O$6,"Volume","-4","T")</f>
        <v>532</v>
      </c>
      <c r="Q20" s="43">
        <f t="shared" si="2"/>
        <v>-532</v>
      </c>
      <c r="Y20" s="8"/>
      <c r="Z20" s="7"/>
      <c r="AA20" s="2">
        <f>RTD("cqg.rtd",,"StudyData",$O$6, "Vol", "VolType=auto,CoCType=Contract", "Vol","D","-9","ALL",,,"TRUE","T")</f>
        <v>23627</v>
      </c>
      <c r="AB20" s="2">
        <f>RTD("cqg.rtd",,"StudyData",$B$6, "Vol", "VolType=auto,CoCType=Contract", "Vol","D","-9","ALL",,,"TRUE","T")</f>
        <v>1420462</v>
      </c>
      <c r="AC20" s="2">
        <v>-9</v>
      </c>
      <c r="AD20" s="2">
        <f>IF(RTD("cqg.rtd",,"StudyData",$B$6,"VolOI","OIType=Contract","OI","D",AF20,"all",,,,"T")="",NA(),RTD("cqg.rtd",,"StudyData",$B$6,"VolOI","OIType=Contract","OI","D",AF20,"all",,,,"T"))</f>
        <v>2869462</v>
      </c>
      <c r="AE20" s="2">
        <f>IF(RTD("cqg.rtd",,"StudyData",$O$6,"VolOI","OIType=Contract","OI","D",AF20,"all",,,,"T")="",NA(),RTD("cqg.rtd",,"StudyData",$O$6,"VolOI","OIType=Contract","OI","D",AF20,"all",,,,"T"))</f>
        <v>55190</v>
      </c>
      <c r="AF20" s="2">
        <v>-10</v>
      </c>
    </row>
    <row r="21" spans="2:32" ht="21" customHeight="1" x14ac:dyDescent="0.3">
      <c r="B21" s="32"/>
      <c r="C21" s="33"/>
      <c r="D21" s="37"/>
      <c r="E21" s="40"/>
      <c r="F21" s="40"/>
      <c r="G21" s="40"/>
      <c r="H21" s="7"/>
      <c r="I21" s="11">
        <f>J21</f>
        <v>1463</v>
      </c>
      <c r="J21" s="10">
        <f>RTD("cqg.rtd",,"DOMData",$B$6,"Volume","5","T")</f>
        <v>1463</v>
      </c>
      <c r="K21" s="9">
        <f>RTD("cqg.rtd",,"DOMData",$B$6,"Price","-5")</f>
        <v>130280</v>
      </c>
      <c r="L21" s="8"/>
      <c r="M21" s="42">
        <f>IF(ISERROR(P21-J21),"",P21-J21)</f>
        <v>-1102</v>
      </c>
      <c r="N21" s="28"/>
      <c r="O21" s="52">
        <f>RTD("cqg.rtd",,"DOMData",$B$6,"Price","-5")</f>
        <v>130280</v>
      </c>
      <c r="P21" s="10">
        <f>RTD("cqg.rtd",,"DOMData",$O$6,"Volume","5","T")</f>
        <v>361</v>
      </c>
      <c r="Q21" s="43">
        <f t="shared" si="2"/>
        <v>-361</v>
      </c>
      <c r="Y21" s="8"/>
      <c r="Z21" s="7"/>
      <c r="AA21" s="2">
        <f>RTD("cqg.rtd",,"StudyData",$O$6, "Vol", "VolType=auto,CoCType=Contract", "Vol","D","-10","ALL",,,"TRUE","T")</f>
        <v>6347</v>
      </c>
      <c r="AB21" s="2">
        <f>RTD("cqg.rtd",,"StudyData",$B$6, "Vol", "VolType=auto,CoCType=Contract", "Vol","D","-10","ALL",,,"TRUE","T")</f>
        <v>1229545</v>
      </c>
      <c r="AC21" s="2">
        <v>-10</v>
      </c>
      <c r="AD21" s="2">
        <f>IF(RTD("cqg.rtd",,"StudyData",$B$6,"VolOI","OIType=Contract","OI","D",AF21,"all",,,,"T")="",NA(),RTD("cqg.rtd",,"StudyData",$B$6,"VolOI","OIType=Contract","OI","D",AF21,"all",,,,"T"))</f>
        <v>2910237</v>
      </c>
      <c r="AE21" s="2">
        <f>IF(RTD("cqg.rtd",,"StudyData",$O$6,"VolOI","OIType=Contract","OI","D",AF21,"all",,,,"T")="",NA(),RTD("cqg.rtd",,"StudyData",$O$6,"VolOI","OIType=Contract","OI","D",AF21,"all",,,,"T"))</f>
        <v>52539</v>
      </c>
      <c r="AF21" s="2">
        <v>-11</v>
      </c>
    </row>
    <row r="22" spans="2:32" ht="9.9499999999999993" customHeight="1" x14ac:dyDescent="0.3">
      <c r="E22" s="25"/>
      <c r="F22" s="25"/>
      <c r="G22" s="25"/>
      <c r="H22" s="25"/>
      <c r="I22" s="25"/>
      <c r="J22" s="25"/>
      <c r="K22" s="25"/>
      <c r="L22" s="7"/>
      <c r="M22" s="7"/>
      <c r="Q22" s="25"/>
      <c r="R22" s="25"/>
      <c r="S22" s="25"/>
      <c r="T22" s="25"/>
      <c r="U22" s="25"/>
      <c r="V22" s="25"/>
      <c r="W22" s="25"/>
      <c r="X22" s="25"/>
      <c r="Z22" s="2"/>
      <c r="AA22" s="2"/>
      <c r="AB22" s="2"/>
      <c r="AC22" s="2"/>
    </row>
    <row r="23" spans="2:32" ht="20.100000000000001" customHeight="1" x14ac:dyDescent="0.3">
      <c r="B23" s="69" t="s">
        <v>20</v>
      </c>
      <c r="C23" s="70"/>
      <c r="D23" s="70"/>
      <c r="E23" s="70"/>
      <c r="F23" s="75">
        <f>IF(RTD("cqg.rtd",,"ContractData",B25,"FirstNoticeDate",,"D")=2,"Cash Settlement",RTD("cqg.rtd",,"ContractData",B25,"FirstNoticeDate",,"D"))</f>
        <v>42429</v>
      </c>
      <c r="G23" s="75"/>
      <c r="H23" s="70" t="s">
        <v>18</v>
      </c>
      <c r="I23" s="70"/>
      <c r="J23" s="75">
        <f>RTD("cqg.rtd",,"ContractData",B25,"ExpirationDate",,"D")</f>
        <v>42451</v>
      </c>
      <c r="K23" s="75"/>
      <c r="L23" s="57"/>
      <c r="M23" s="57"/>
      <c r="N23" s="55"/>
      <c r="O23" s="70" t="s">
        <v>19</v>
      </c>
      <c r="P23" s="70"/>
      <c r="Q23" s="70"/>
      <c r="R23" s="70"/>
      <c r="S23" s="75">
        <f>IF(RTD("cqg.rtd",,"ContractData",O25,"FirstNoticeDate",,"D")=2,"Cash Settlement",RTD("cqg.rtd",,"ContractData",O25,"FirstNoticeDate",,"D"))</f>
        <v>42521</v>
      </c>
      <c r="T23" s="75"/>
      <c r="U23" s="70" t="s">
        <v>18</v>
      </c>
      <c r="V23" s="70"/>
      <c r="W23" s="75">
        <f>RTD("cqg.rtd",,"ContractData",O25,"ExpirationDate",,"D")</f>
        <v>42542</v>
      </c>
      <c r="X23" s="75"/>
      <c r="Y23" s="24"/>
      <c r="Z23" s="24"/>
      <c r="AA23" s="24"/>
      <c r="AB23" s="24"/>
      <c r="AC23" s="24"/>
      <c r="AD23" s="24"/>
      <c r="AE23" s="24"/>
    </row>
    <row r="24" spans="2:32" ht="20.100000000000001" customHeight="1" x14ac:dyDescent="0.3">
      <c r="B24" s="44" t="s">
        <v>16</v>
      </c>
      <c r="C24" s="44" t="s">
        <v>15</v>
      </c>
      <c r="D24" s="44" t="s">
        <v>14</v>
      </c>
      <c r="E24" s="44" t="s">
        <v>13</v>
      </c>
      <c r="F24" s="44" t="s">
        <v>12</v>
      </c>
      <c r="G24" s="44" t="s">
        <v>11</v>
      </c>
      <c r="H24" s="45" t="s">
        <v>10</v>
      </c>
      <c r="I24" s="44" t="s">
        <v>9</v>
      </c>
      <c r="J24" s="44" t="s">
        <v>8</v>
      </c>
      <c r="K24" s="45" t="s">
        <v>17</v>
      </c>
      <c r="L24" s="81" t="s">
        <v>23</v>
      </c>
      <c r="M24" s="82"/>
      <c r="N24" s="83"/>
      <c r="O24" s="44" t="s">
        <v>16</v>
      </c>
      <c r="P24" s="44" t="s">
        <v>15</v>
      </c>
      <c r="Q24" s="44" t="s">
        <v>14</v>
      </c>
      <c r="R24" s="44" t="s">
        <v>13</v>
      </c>
      <c r="S24" s="44" t="s">
        <v>12</v>
      </c>
      <c r="T24" s="44" t="s">
        <v>11</v>
      </c>
      <c r="U24" s="44" t="s">
        <v>10</v>
      </c>
      <c r="V24" s="44" t="s">
        <v>9</v>
      </c>
      <c r="W24" s="44" t="s">
        <v>8</v>
      </c>
      <c r="X24" s="44" t="s">
        <v>7</v>
      </c>
    </row>
    <row r="25" spans="2:32" ht="20.100000000000001" customHeight="1" x14ac:dyDescent="0.3">
      <c r="B25" s="46" t="s">
        <v>30</v>
      </c>
      <c r="C25" s="47" t="str">
        <f>RTD("cqg.rtd",,"ContractData",B25,"LastPrice",,"F")</f>
        <v>165210ú</v>
      </c>
      <c r="D25" s="47" t="str">
        <f>RTD("cqg.rtd",,"ContractData",B25,"NetChange",,"F")</f>
        <v>-260</v>
      </c>
      <c r="E25" s="47" t="str">
        <f>RTD("cqg.rtd",,"ContractData",B25,"Open",,"F")</f>
        <v>166100</v>
      </c>
      <c r="F25" s="47" t="str">
        <f>RTD("cqg.rtd",,"ContractData",B25,"High",,"F")</f>
        <v>166160</v>
      </c>
      <c r="G25" s="47" t="str">
        <f>RTD("cqg.rtd",,"ContractData",B25,"Low",,"F")</f>
        <v>165060</v>
      </c>
      <c r="H25" s="47">
        <f>RTD("cqg.rtd",,"ContractData",B25,"VolumeLastBid",,"F")</f>
        <v>167</v>
      </c>
      <c r="I25" s="47" t="str">
        <f>RTD("cqg.rtd",,"ContractData",B25,"Bid",,"F")</f>
        <v>165210</v>
      </c>
      <c r="J25" s="47" t="str">
        <f>RTD("cqg.rtd",,"ContractData",B25,"Ask",,"F")</f>
        <v>165220</v>
      </c>
      <c r="K25" s="47">
        <f>RTD("cqg.rtd",,"ContractData",B25,"VolumeLAstAsk",,"F")</f>
        <v>66</v>
      </c>
      <c r="L25" s="84" t="s">
        <v>24</v>
      </c>
      <c r="M25" s="85"/>
      <c r="N25" s="86"/>
      <c r="O25" s="48" t="s">
        <v>31</v>
      </c>
      <c r="P25" s="47" t="str">
        <f>RTD("cqg.rtd",,"ContractData",O25,"LastPrice",,"F")</f>
        <v>164120û</v>
      </c>
      <c r="Q25" s="47" t="str">
        <f>RTD("cqg.rtd",,"ContractData",O25,"NetChange",,"F")</f>
        <v>-240</v>
      </c>
      <c r="R25" s="47" t="str">
        <f>RTD("cqg.rtd",,"ContractData",O25,"Open",,"F")</f>
        <v>164270</v>
      </c>
      <c r="S25" s="47" t="str">
        <f>RTD("cqg.rtd",,"ContractData",O25,"High",,"F")</f>
        <v>165020</v>
      </c>
      <c r="T25" s="47" t="str">
        <f>RTD("cqg.rtd",,"ContractData",O25,"Low",,"F")</f>
        <v>163280</v>
      </c>
      <c r="U25" s="47">
        <f>RTD("cqg.rtd",,"ContractData",O25,"VolumeLastBid",,"F")</f>
        <v>86</v>
      </c>
      <c r="V25" s="47" t="str">
        <f>RTD("cqg.rtd",,"ContractData",O25,"Bid",,"F")</f>
        <v>164100</v>
      </c>
      <c r="W25" s="47" t="str">
        <f>RTD("cqg.rtd",,"ContractData",O25,"Ask",,"F")</f>
        <v>164120</v>
      </c>
      <c r="X25" s="47">
        <f>RTD("cqg.rtd",,"ContractData",O25,"VolumeLAstAsk",,"F")</f>
        <v>35</v>
      </c>
    </row>
    <row r="26" spans="2:32" ht="2.1" customHeight="1" x14ac:dyDescent="0.3">
      <c r="B26" s="23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2:32" ht="2.1" customHeight="1" x14ac:dyDescent="0.3">
      <c r="B27" s="22"/>
      <c r="C27" s="19"/>
      <c r="D27" s="19"/>
      <c r="E27" s="18"/>
      <c r="F27" s="18"/>
      <c r="G27" s="18"/>
      <c r="H27" s="18"/>
      <c r="I27" s="18"/>
      <c r="J27" s="18"/>
      <c r="K27" s="18"/>
      <c r="L27" s="18"/>
      <c r="M27" s="18"/>
      <c r="N27" s="21"/>
      <c r="O27" s="20"/>
      <c r="P27" s="19"/>
      <c r="Q27" s="19"/>
      <c r="R27" s="18"/>
      <c r="S27" s="18"/>
      <c r="T27" s="18"/>
      <c r="U27" s="18"/>
      <c r="V27" s="18"/>
      <c r="W27" s="18"/>
    </row>
    <row r="28" spans="2:32" ht="27.95" customHeight="1" x14ac:dyDescent="0.3">
      <c r="B28" s="61" t="str">
        <f>"First Contract: "&amp;RTD("cqg.rtd", ,"ContractData",$B$25, "LongDescription")</f>
        <v>First Contract: 30yr US Treasury Bonds (Globex), Mar 16</v>
      </c>
      <c r="C28" s="62"/>
      <c r="D28" s="62"/>
      <c r="E28" s="62"/>
      <c r="F28" s="62"/>
      <c r="G28" s="62"/>
      <c r="H28" s="63"/>
      <c r="I28" s="67" t="str">
        <f>RTD("cqg.rtd", ,"ContractData",$B$25, "Symbol")</f>
        <v>USAH6</v>
      </c>
      <c r="J28" s="68"/>
      <c r="K28" s="68"/>
      <c r="L28" s="61" t="s">
        <v>25</v>
      </c>
      <c r="M28" s="62"/>
      <c r="N28" s="63"/>
      <c r="O28" s="67" t="str">
        <f>RTD("cqg.rtd", ,"ContractData",$O$25, "Symbol")</f>
        <v>USAM6</v>
      </c>
      <c r="P28" s="68"/>
      <c r="Q28" s="76"/>
      <c r="R28" s="61" t="str">
        <f>"First Contract: "&amp;RTD("cqg.rtd", ,"ContractData",$B$25, "LongDescription")</f>
        <v>First Contract: 30yr US Treasury Bonds (Globex), Mar 16</v>
      </c>
      <c r="S28" s="62"/>
      <c r="T28" s="62"/>
      <c r="U28" s="62"/>
      <c r="V28" s="62"/>
      <c r="W28" s="62"/>
      <c r="X28" s="63"/>
      <c r="Y28" s="17"/>
    </row>
    <row r="29" spans="2:32" ht="27.95" customHeight="1" x14ac:dyDescent="0.3">
      <c r="B29" s="64" t="str">
        <f>"Second Contract: "&amp;RTD("cqg.rtd", ,"ContractData",$O$25, "LongDescription")</f>
        <v>Second Contract: 30yr US Treasury Bonds (Globex), Jun 16</v>
      </c>
      <c r="C29" s="65"/>
      <c r="D29" s="65"/>
      <c r="E29" s="65"/>
      <c r="F29" s="65"/>
      <c r="G29" s="65"/>
      <c r="H29" s="66"/>
      <c r="I29" s="58" t="s">
        <v>6</v>
      </c>
      <c r="J29" s="59"/>
      <c r="K29" s="60"/>
      <c r="L29" s="87" t="s">
        <v>26</v>
      </c>
      <c r="M29" s="88"/>
      <c r="N29" s="89"/>
      <c r="O29" s="58" t="s">
        <v>6</v>
      </c>
      <c r="P29" s="59"/>
      <c r="Q29" s="60"/>
      <c r="R29" s="64" t="str">
        <f>"Second Contract: "&amp;RTD("cqg.rtd", ,"ContractData",$O$25, "LongDescription")</f>
        <v>Second Contract: 30yr US Treasury Bonds (Globex), Jun 16</v>
      </c>
      <c r="S29" s="65"/>
      <c r="T29" s="65"/>
      <c r="U29" s="65"/>
      <c r="V29" s="65"/>
      <c r="W29" s="65"/>
      <c r="X29" s="66"/>
      <c r="Y29" s="16"/>
      <c r="Z29" s="7"/>
    </row>
    <row r="30" spans="2:32" ht="21" customHeight="1" x14ac:dyDescent="0.3">
      <c r="B30" s="30"/>
      <c r="C30" s="31"/>
      <c r="D30" s="34"/>
      <c r="E30" s="15"/>
      <c r="F30" s="15"/>
      <c r="G30" s="14"/>
      <c r="H30" s="14"/>
      <c r="I30" s="13">
        <f>J30</f>
        <v>253</v>
      </c>
      <c r="J30" s="10">
        <f>RTD("cqg.rtd",,"DOMData",$B$25,"Volume","5","T")</f>
        <v>253</v>
      </c>
      <c r="K30" s="9">
        <f>RTD("cqg.rtd",,"DOMData",$B$25,"Price","5")</f>
        <v>165260</v>
      </c>
      <c r="L30" s="29"/>
      <c r="M30" s="41">
        <f>IF(ISERROR(P30-J30),"",P30-J30)</f>
        <v>-162</v>
      </c>
      <c r="N30" s="28"/>
      <c r="O30" s="52">
        <f>RTD("cqg.rtd",,"DOMData",$O$25,"Price","5")</f>
        <v>164160</v>
      </c>
      <c r="P30" s="10">
        <f>RTD("cqg.rtd",,"DOMData",$O$25,"Volume","5","T")</f>
        <v>91</v>
      </c>
      <c r="Q30" s="9">
        <f>P30*-1</f>
        <v>-91</v>
      </c>
      <c r="Y30" s="8"/>
      <c r="Z30" s="7"/>
      <c r="AA30" s="2">
        <f>RTD("cqg.rtd",,"StudyData",$O$25, "Vol", "VolType=auto,CoCType=Contract", "Vol","D","0","ALL",,,"TRUE","T")</f>
        <v>1366</v>
      </c>
      <c r="AB30" s="2">
        <f>RTD("cqg.rtd",,"StudyData",$B$25, "Vol", "VolType=auto,CoCType=Contract", "Vol","D","0","ALL",,,"TRUE","T")</f>
        <v>209820</v>
      </c>
      <c r="AC30" s="2" t="s">
        <v>5</v>
      </c>
      <c r="AD30" s="2" t="e">
        <f>IF(RTD("cqg.rtd",,"StudyData",$B$25,"VolOI","OIType=Contract","OI","D","-1","all",,,,"T")="",NA(),RTD("cqg.rtd",,"StudyData",$B$25,"VolOI","OIType=Contract","OI","D","-1","all",,,,"T"))</f>
        <v>#N/A</v>
      </c>
      <c r="AE30" s="2" t="e">
        <f>IF(RTD("cqg.rtd",,"StudyData",$O$25,"VolOI","OIType=Contract","OI","D","-1","all",,,,"T")="",NA(),RTD("cqg.rtd",,"StudyData",$O$25,"VolOI","OIType=Contract","OI","D","-1","all",,,,"T"))</f>
        <v>#N/A</v>
      </c>
      <c r="AF30" s="2" t="s">
        <v>4</v>
      </c>
    </row>
    <row r="31" spans="2:32" ht="21" customHeight="1" x14ac:dyDescent="0.3">
      <c r="B31" s="8"/>
      <c r="C31" s="3"/>
      <c r="D31" s="35"/>
      <c r="E31" s="7"/>
      <c r="F31" s="7"/>
      <c r="G31" s="7"/>
      <c r="H31" s="7"/>
      <c r="I31" s="12">
        <f>J31</f>
        <v>265</v>
      </c>
      <c r="J31" s="10">
        <f>RTD("cqg.rtd",,"DOMData",$B$25,"Volume","4","T")</f>
        <v>265</v>
      </c>
      <c r="K31" s="9">
        <f>RTD("cqg.rtd",,"DOMData",$B$25,"Price","4")</f>
        <v>165250</v>
      </c>
      <c r="L31" s="8"/>
      <c r="M31" s="42">
        <f t="shared" ref="M31:M34" si="4">IF(ISERROR(P31-J31),"",P31-J31)</f>
        <v>-132</v>
      </c>
      <c r="N31" s="28"/>
      <c r="O31" s="52">
        <f>RTD("cqg.rtd",,"DOMData",$O$25,"Price","4")</f>
        <v>164150</v>
      </c>
      <c r="P31" s="10">
        <f>RTD("cqg.rtd",,"DOMData",$O$25,"Volume","4","T")</f>
        <v>133</v>
      </c>
      <c r="Q31" s="9">
        <f t="shared" ref="Q31:Q34" si="5">P31*-1</f>
        <v>-133</v>
      </c>
      <c r="Y31" s="8"/>
      <c r="Z31" s="7"/>
      <c r="AA31" s="2">
        <f>RTD("cqg.rtd",,"StudyData",$O$25, "Vol", "VolType=auto,CoCType=Contract", "Vol","D","-1","ALL",,,"TRUE","T")</f>
        <v>4543</v>
      </c>
      <c r="AB31" s="2">
        <f>RTD("cqg.rtd",,"StudyData",$B$25, "Vol", "VolType=auto,CoCType=Contract", "Vol","D","-1","ALL",,,"TRUE","T")</f>
        <v>341455</v>
      </c>
      <c r="AC31" s="2">
        <v>-1</v>
      </c>
      <c r="AD31" s="2">
        <f>IF(RTD("cqg.rtd",,"StudyData",$B$25,"VolOI","OIType=Contract","OI","D",AF31,"all",,,,"T")="",NA(),RTD("cqg.rtd",,"StudyData",$B$25,"VolOI","OIType=Contract","OI","D",AF31,"all",,,,"T"))</f>
        <v>558416</v>
      </c>
      <c r="AE31" s="2">
        <f>IF(RTD("cqg.rtd",,"StudyData",$O$25,"VolOI","OIType=Contract","OI","D",AF31,"all",,,,"T")="",NA(),RTD("cqg.rtd",,"StudyData",$O$25,"VolOI","OIType=Contract","OI","D",AF31,"all",,,,"T"))</f>
        <v>11038</v>
      </c>
      <c r="AF31" s="2">
        <v>-2</v>
      </c>
    </row>
    <row r="32" spans="2:32" ht="21" customHeight="1" x14ac:dyDescent="0.3">
      <c r="B32" s="8"/>
      <c r="C32" s="3"/>
      <c r="D32" s="35"/>
      <c r="E32" s="7"/>
      <c r="F32" s="7"/>
      <c r="G32" s="7"/>
      <c r="H32" s="7"/>
      <c r="I32" s="12">
        <f>J32</f>
        <v>282</v>
      </c>
      <c r="J32" s="10">
        <f>RTD("cqg.rtd",,"DOMData",$B$25,"Volume","3","T")</f>
        <v>282</v>
      </c>
      <c r="K32" s="9">
        <f>RTD("cqg.rtd",,"DOMData",$B$25,"Price","3")</f>
        <v>165240</v>
      </c>
      <c r="L32" s="8"/>
      <c r="M32" s="42">
        <f t="shared" si="4"/>
        <v>-190</v>
      </c>
      <c r="N32" s="28"/>
      <c r="O32" s="52">
        <f>RTD("cqg.rtd",,"DOMData",$O$25,"Price","3")</f>
        <v>164140</v>
      </c>
      <c r="P32" s="10">
        <f>RTD("cqg.rtd",,"DOMData",$O$25,"Volume","3","T")</f>
        <v>92</v>
      </c>
      <c r="Q32" s="9">
        <f t="shared" si="5"/>
        <v>-92</v>
      </c>
      <c r="Y32" s="8"/>
      <c r="Z32" s="7"/>
      <c r="AA32" s="2">
        <f>RTD("cqg.rtd",,"StudyData",$O$25, "Vol", "VolType=auto,CoCType=Contract", "Vol","D","-2","ALL",,,"TRUE","T")</f>
        <v>4370</v>
      </c>
      <c r="AB32" s="2">
        <f>RTD("cqg.rtd",,"StudyData",$B$25, "Vol", "VolType=auto,CoCType=Contract", "Vol","D","-2","ALL",,,"TRUE","T")</f>
        <v>558537</v>
      </c>
      <c r="AC32" s="2">
        <v>-2</v>
      </c>
      <c r="AD32" s="2">
        <f>IF(RTD("cqg.rtd",,"StudyData",$B$25,"VolOI","OIType=Contract","OI","D",AF32,"all",,,,"T")="",NA(),RTD("cqg.rtd",,"StudyData",$B$25,"VolOI","OIType=Contract","OI","D",AF32,"all",,,,"T"))</f>
        <v>558498</v>
      </c>
      <c r="AE32" s="2">
        <f>IF(RTD("cqg.rtd",,"StudyData",$O$25,"VolOI","OIType=Contract","OI","D",AF32,"all",,,,"T")="",NA(),RTD("cqg.rtd",,"StudyData",$O$25,"VolOI","OIType=Contract","OI","D",AF32,"all",,,,"T"))</f>
        <v>10584</v>
      </c>
      <c r="AF32" s="2">
        <v>-3</v>
      </c>
    </row>
    <row r="33" spans="2:32" ht="21" customHeight="1" x14ac:dyDescent="0.3">
      <c r="B33" s="8"/>
      <c r="C33" s="3"/>
      <c r="D33" s="35"/>
      <c r="E33" s="7"/>
      <c r="F33" s="7"/>
      <c r="G33" s="7"/>
      <c r="H33" s="7"/>
      <c r="I33" s="12">
        <f>J33</f>
        <v>294</v>
      </c>
      <c r="J33" s="10">
        <f>RTD("cqg.rtd",,"DOMData",$B$25,"Volume","2","T")</f>
        <v>294</v>
      </c>
      <c r="K33" s="9">
        <f>RTD("cqg.rtd",,"DOMData",$B$25,"Price","2")</f>
        <v>165230</v>
      </c>
      <c r="L33" s="8"/>
      <c r="M33" s="42">
        <f t="shared" si="4"/>
        <v>-207</v>
      </c>
      <c r="N33" s="28"/>
      <c r="O33" s="52">
        <f>RTD("cqg.rtd",,"DOMData",$O$25,"Price","2")</f>
        <v>164130</v>
      </c>
      <c r="P33" s="10">
        <f>RTD("cqg.rtd",,"DOMData",$O$25,"Volume","2","T")</f>
        <v>87</v>
      </c>
      <c r="Q33" s="9">
        <f t="shared" si="5"/>
        <v>-87</v>
      </c>
      <c r="Y33" s="8"/>
      <c r="Z33" s="7"/>
      <c r="AA33" s="2">
        <f>RTD("cqg.rtd",,"StudyData",$O$25, "Vol", "VolType=auto,CoCType=Contract", "Vol","D","-3","ALL",,,"TRUE","T")</f>
        <v>4768</v>
      </c>
      <c r="AB33" s="2">
        <f>RTD("cqg.rtd",,"StudyData",$B$25, "Vol", "VolType=auto,CoCType=Contract", "Vol","D","-3","ALL",,,"TRUE","T")</f>
        <v>329883</v>
      </c>
      <c r="AC33" s="2">
        <v>-3</v>
      </c>
      <c r="AD33" s="2">
        <f>IF(RTD("cqg.rtd",,"StudyData",$B$25,"VolOI","OIType=Contract","OI","D",AF33,"all",,,,"T")="",NA(),RTD("cqg.rtd",,"StudyData",$B$25,"VolOI","OIType=Contract","OI","D",AF33,"all",,,,"T"))</f>
        <v>560568</v>
      </c>
      <c r="AE33" s="2">
        <f>IF(RTD("cqg.rtd",,"StudyData",$O$25,"VolOI","OIType=Contract","OI","D",AF33,"all",,,,"T")="",NA(),RTD("cqg.rtd",,"StudyData",$O$25,"VolOI","OIType=Contract","OI","D",AF33,"all",,,,"T"))</f>
        <v>10453</v>
      </c>
      <c r="AF33" s="2">
        <v>-4</v>
      </c>
    </row>
    <row r="34" spans="2:32" ht="21" customHeight="1" x14ac:dyDescent="0.3">
      <c r="B34" s="8"/>
      <c r="C34" s="3"/>
      <c r="D34" s="35"/>
      <c r="E34" s="7"/>
      <c r="F34" s="7"/>
      <c r="G34" s="7"/>
      <c r="H34" s="7"/>
      <c r="I34" s="12">
        <f>J34</f>
        <v>66</v>
      </c>
      <c r="J34" s="10">
        <f>RTD("cqg.rtd",,"DOMData",$B$25,"Volume","1","T")</f>
        <v>66</v>
      </c>
      <c r="K34" s="9">
        <f>RTD("cqg.rtd",,"DOMData",$B$25,"Price","1")</f>
        <v>165220</v>
      </c>
      <c r="L34" s="8"/>
      <c r="M34" s="42">
        <f t="shared" si="4"/>
        <v>-31</v>
      </c>
      <c r="N34" s="28"/>
      <c r="O34" s="52">
        <f>RTD("cqg.rtd",,"DOMData",$O$25,"Price","1")</f>
        <v>164120</v>
      </c>
      <c r="P34" s="10">
        <f>RTD("cqg.rtd",,"DOMData",$O$25,"Volume","1","T")</f>
        <v>35</v>
      </c>
      <c r="Q34" s="9">
        <f t="shared" si="5"/>
        <v>-35</v>
      </c>
      <c r="Y34" s="8"/>
      <c r="Z34" s="7"/>
      <c r="AA34" s="2">
        <f>RTD("cqg.rtd",,"StudyData",$O$25, "Vol", "VolType=auto,CoCType=Contract", "Vol","D","-4","ALL",,,"TRUE","T")</f>
        <v>2867</v>
      </c>
      <c r="AB34" s="2">
        <f>RTD("cqg.rtd",,"StudyData",$B$25, "Vol", "VolType=auto,CoCType=Contract", "Vol","D","-4","ALL",,,"TRUE","T")</f>
        <v>375240</v>
      </c>
      <c r="AC34" s="2">
        <v>-4</v>
      </c>
      <c r="AD34" s="2">
        <f>IF(RTD("cqg.rtd",,"StudyData",$B$25,"VolOI","OIType=Contract","OI","D",AF34,"all",,,,"T")="",NA(),RTD("cqg.rtd",,"StudyData",$B$25,"VolOI","OIType=Contract","OI","D",AF34,"all",,,,"T"))</f>
        <v>559490</v>
      </c>
      <c r="AE34" s="2">
        <f>IF(RTD("cqg.rtd",,"StudyData",$O$25,"VolOI","OIType=Contract","OI","D",AF34,"all",,,,"T")="",NA(),RTD("cqg.rtd",,"StudyData",$O$25,"VolOI","OIType=Contract","OI","D",AF34,"all",,,,"T"))</f>
        <v>9795</v>
      </c>
      <c r="AF34" s="2">
        <v>-5</v>
      </c>
    </row>
    <row r="35" spans="2:32" ht="21" customHeight="1" x14ac:dyDescent="0.3">
      <c r="B35" s="8"/>
      <c r="C35" s="3"/>
      <c r="D35" s="35"/>
      <c r="E35" s="7"/>
      <c r="F35" s="7"/>
      <c r="G35" s="7"/>
      <c r="H35" s="7"/>
      <c r="I35" s="77" t="s">
        <v>3</v>
      </c>
      <c r="J35" s="78"/>
      <c r="K35" s="51">
        <f>RTD("cqg.rtd",,"ContractData",B25,"LastTradeorSettle",,"D")</f>
        <v>165220</v>
      </c>
      <c r="L35" s="8"/>
      <c r="M35" s="53">
        <f>RTD("cqg.rtd",,"ContractData",O25,"MT_LastTradeOrSettlementVolume")-RTD("cqg.rtd",,"ContractData",B25,"MT_LastTradeOrSettlementVolume")</f>
        <v>16</v>
      </c>
      <c r="N35" s="28"/>
      <c r="O35" s="50">
        <f>RTD("cqg.rtd",,"ContractData",O25,"LastTradeorSettle",,"D")</f>
        <v>164100</v>
      </c>
      <c r="P35" s="79" t="s">
        <v>3</v>
      </c>
      <c r="Q35" s="80"/>
      <c r="Y35" s="8"/>
      <c r="Z35" s="7"/>
      <c r="AA35" s="2">
        <f>RTD("cqg.rtd",,"StudyData",$O$25, "Vol", "VolType=auto,CoCType=Contract", "Vol","D","-5","ALL",,,"TRUE","T")</f>
        <v>3476</v>
      </c>
      <c r="AB35" s="2">
        <f>RTD("cqg.rtd",,"StudyData",$B$25, "Vol", "VolType=auto,CoCType=Contract", "Vol","D","-5","ALL",,,"TRUE","T")</f>
        <v>363230</v>
      </c>
      <c r="AC35" s="2">
        <v>-5</v>
      </c>
      <c r="AD35" s="2">
        <f>IF(RTD("cqg.rtd",,"StudyData",$B$25,"VolOI","OIType=Contract","OI","D",AF35,"all",,,,"T")="",NA(),RTD("cqg.rtd",,"StudyData",$B$25,"VolOI","OIType=Contract","OI","D",AF35,"all",,,,"T"))</f>
        <v>552536</v>
      </c>
      <c r="AE35" s="2">
        <f>IF(RTD("cqg.rtd",,"StudyData",$O$25,"VolOI","OIType=Contract","OI","D",AF35,"all",,,,"T")="",NA(),RTD("cqg.rtd",,"StudyData",$O$25,"VolOI","OIType=Contract","OI","D",AF35,"all",,,,"T"))</f>
        <v>7968</v>
      </c>
      <c r="AF35" s="2">
        <v>-6</v>
      </c>
    </row>
    <row r="36" spans="2:32" ht="21" customHeight="1" x14ac:dyDescent="0.3">
      <c r="B36" s="8"/>
      <c r="C36" s="3"/>
      <c r="D36" s="35"/>
      <c r="E36" s="7"/>
      <c r="F36" s="7"/>
      <c r="G36" s="7"/>
      <c r="H36" s="7"/>
      <c r="I36" s="12">
        <f>J36</f>
        <v>167</v>
      </c>
      <c r="J36" s="10">
        <f>RTD("cqg.rtd",,"DOMData",$B$25,"Volume","-1","T")</f>
        <v>167</v>
      </c>
      <c r="K36" s="9">
        <f>RTD("cqg.rtd",,"DOMData",$B$25,"Price","-1")</f>
        <v>165210</v>
      </c>
      <c r="L36" s="8"/>
      <c r="M36" s="42">
        <f t="shared" ref="M36:M40" si="6">IF(ISERROR(P36-J36),"",P36-J36)</f>
        <v>-81</v>
      </c>
      <c r="N36" s="28"/>
      <c r="O36" s="52">
        <f>RTD("cqg.rtd",,"DOMData",$O$25,"Price","-1")</f>
        <v>164100</v>
      </c>
      <c r="P36" s="10">
        <f>RTD("cqg.rtd",,"DOMData",$O$25,"Volume","-1","T")</f>
        <v>86</v>
      </c>
      <c r="Q36" s="9">
        <f t="shared" ref="Q36:Q40" si="7">P36*-1</f>
        <v>-86</v>
      </c>
      <c r="Y36" s="8"/>
      <c r="Z36" s="7"/>
      <c r="AA36" s="2">
        <f>RTD("cqg.rtd",,"StudyData",$O$25, "Vol", "VolType=auto,CoCType=Contract", "Vol","D","-6","ALL",,,"TRUE","T")</f>
        <v>1346</v>
      </c>
      <c r="AB36" s="2">
        <f>RTD("cqg.rtd",,"StudyData",$B$25, "Vol", "VolType=auto,CoCType=Contract", "Vol","D","-6","ALL",,,"TRUE","T")</f>
        <v>351374</v>
      </c>
      <c r="AC36" s="2">
        <v>-6</v>
      </c>
      <c r="AD36" s="2">
        <f>IF(RTD("cqg.rtd",,"StudyData",$B$25,"VolOI","OIType=Contract","OI","D",AF36,"all",,,,"T")="",NA(),RTD("cqg.rtd",,"StudyData",$B$25,"VolOI","OIType=Contract","OI","D",AF36,"all",,,,"T"))</f>
        <v>547221</v>
      </c>
      <c r="AE36" s="2">
        <f>IF(RTD("cqg.rtd",,"StudyData",$O$25,"VolOI","OIType=Contract","OI","D",AF36,"all",,,,"T")="",NA(),RTD("cqg.rtd",,"StudyData",$O$25,"VolOI","OIType=Contract","OI","D",AF36,"all",,,,"T"))</f>
        <v>7680</v>
      </c>
      <c r="AF36" s="2">
        <v>-7</v>
      </c>
    </row>
    <row r="37" spans="2:32" ht="21" customHeight="1" x14ac:dyDescent="0.3">
      <c r="B37" s="8"/>
      <c r="C37" s="3"/>
      <c r="D37" s="35"/>
      <c r="E37" s="7"/>
      <c r="F37" s="7"/>
      <c r="G37" s="7"/>
      <c r="H37" s="7"/>
      <c r="I37" s="12">
        <f>J37</f>
        <v>416</v>
      </c>
      <c r="J37" s="10">
        <f>RTD("cqg.rtd",,"DOMData",$B$25,"Volume","-2","T")</f>
        <v>416</v>
      </c>
      <c r="K37" s="9">
        <f>RTD("cqg.rtd",,"DOMData",$B$25,"Price","-2")</f>
        <v>165200</v>
      </c>
      <c r="L37" s="8"/>
      <c r="M37" s="42">
        <f t="shared" si="6"/>
        <v>-329</v>
      </c>
      <c r="N37" s="28"/>
      <c r="O37" s="52">
        <f>RTD("cqg.rtd",,"DOMData",$O$25,"Price","-2")</f>
        <v>164090</v>
      </c>
      <c r="P37" s="10">
        <f>RTD("cqg.rtd",,"DOMData",$O$25,"Volume","-2","T")</f>
        <v>87</v>
      </c>
      <c r="Q37" s="9">
        <f t="shared" si="7"/>
        <v>-87</v>
      </c>
      <c r="Y37" s="8"/>
      <c r="Z37" s="7"/>
      <c r="AA37" s="2">
        <f>RTD("cqg.rtd",,"StudyData",$O$25, "Vol", "VolType=auto,CoCType=Contract", "Vol","D","-7","ALL",,,"TRUE","T")</f>
        <v>1992</v>
      </c>
      <c r="AB37" s="2">
        <f>RTD("cqg.rtd",,"StudyData",$B$25, "Vol", "VolType=auto,CoCType=Contract", "Vol","D","-7","ALL",,,"TRUE","T")</f>
        <v>300176</v>
      </c>
      <c r="AC37" s="2">
        <v>-7</v>
      </c>
      <c r="AD37" s="2">
        <f>IF(RTD("cqg.rtd",,"StudyData",$B$25,"VolOI","OIType=Contract","OI","D",AF37,"all",,,,"T")="",NA(),RTD("cqg.rtd",,"StudyData",$B$25,"VolOI","OIType=Contract","OI","D",AF37,"all",,,,"T"))</f>
        <v>542351</v>
      </c>
      <c r="AE37" s="2">
        <f>IF(RTD("cqg.rtd",,"StudyData",$O$25,"VolOI","OIType=Contract","OI","D",AF37,"all",,,,"T")="",NA(),RTD("cqg.rtd",,"StudyData",$O$25,"VolOI","OIType=Contract","OI","D",AF37,"all",,,,"T"))</f>
        <v>6400</v>
      </c>
      <c r="AF37" s="2">
        <v>-8</v>
      </c>
    </row>
    <row r="38" spans="2:32" ht="21" customHeight="1" x14ac:dyDescent="0.3">
      <c r="B38" s="8"/>
      <c r="C38" s="3"/>
      <c r="D38" s="35"/>
      <c r="E38" s="7"/>
      <c r="F38" s="7"/>
      <c r="G38" s="7"/>
      <c r="H38" s="7"/>
      <c r="I38" s="12">
        <f>J38</f>
        <v>283</v>
      </c>
      <c r="J38" s="10">
        <f>RTD("cqg.rtd",,"DOMData",$B$25,"Volume","-3","T")</f>
        <v>283</v>
      </c>
      <c r="K38" s="9">
        <f>RTD("cqg.rtd",,"DOMData",$B$25,"Price","-3")</f>
        <v>165190</v>
      </c>
      <c r="L38" s="8"/>
      <c r="M38" s="42">
        <f t="shared" si="6"/>
        <v>-197</v>
      </c>
      <c r="N38" s="28"/>
      <c r="O38" s="52">
        <f>RTD("cqg.rtd",,"DOMData",$O$25,"Price","-3")</f>
        <v>164080</v>
      </c>
      <c r="P38" s="10">
        <f>RTD("cqg.rtd",,"DOMData",$O$25,"Volume","-3","T")</f>
        <v>86</v>
      </c>
      <c r="Q38" s="9">
        <f t="shared" si="7"/>
        <v>-86</v>
      </c>
      <c r="Y38" s="8"/>
      <c r="Z38" s="7"/>
      <c r="AA38" s="2">
        <f>RTD("cqg.rtd",,"StudyData",$O$25, "Vol", "VolType=auto,CoCType=Contract", "Vol","D","-8","ALL",,,"TRUE","T")</f>
        <v>3604</v>
      </c>
      <c r="AB38" s="2">
        <f>RTD("cqg.rtd",,"StudyData",$B$25, "Vol", "VolType=auto,CoCType=Contract", "Vol","D","-8","ALL",,,"TRUE","T")</f>
        <v>391465</v>
      </c>
      <c r="AC38" s="2">
        <v>-8</v>
      </c>
      <c r="AD38" s="2">
        <f>IF(RTD("cqg.rtd",,"StudyData",$B$25,"VolOI","OIType=Contract","OI","D",AF38,"all",,,,"T")="",NA(),RTD("cqg.rtd",,"StudyData",$B$25,"VolOI","OIType=Contract","OI","D",AF38,"all",,,,"T"))</f>
        <v>545301</v>
      </c>
      <c r="AE38" s="2">
        <f>IF(RTD("cqg.rtd",,"StudyData",$O$25,"VolOI","OIType=Contract","OI","D",AF38,"all",,,,"T")="",NA(),RTD("cqg.rtd",,"StudyData",$O$25,"VolOI","OIType=Contract","OI","D",AF38,"all",,,,"T"))</f>
        <v>5185</v>
      </c>
      <c r="AF38" s="2">
        <v>-9</v>
      </c>
    </row>
    <row r="39" spans="2:32" ht="21" customHeight="1" x14ac:dyDescent="0.3">
      <c r="B39" s="8"/>
      <c r="C39" s="3"/>
      <c r="D39" s="35"/>
      <c r="E39" s="7"/>
      <c r="F39" s="7"/>
      <c r="G39" s="7"/>
      <c r="H39" s="7"/>
      <c r="I39" s="12">
        <f>J39</f>
        <v>234</v>
      </c>
      <c r="J39" s="10">
        <f>RTD("cqg.rtd",,"DOMData",$B$25,"Volume","-4","T")</f>
        <v>234</v>
      </c>
      <c r="K39" s="9">
        <f>RTD("cqg.rtd",,"DOMData",$B$25,"Price","-4")</f>
        <v>165180</v>
      </c>
      <c r="L39" s="8"/>
      <c r="M39" s="42">
        <f t="shared" si="6"/>
        <v>-101</v>
      </c>
      <c r="N39" s="28"/>
      <c r="O39" s="52">
        <f>RTD("cqg.rtd",,"DOMData",$O$25,"Price","-4")</f>
        <v>164070</v>
      </c>
      <c r="P39" s="10">
        <f>RTD("cqg.rtd",,"DOMData",$O$25,"Volume","-4","T")</f>
        <v>133</v>
      </c>
      <c r="Q39" s="9">
        <f t="shared" si="7"/>
        <v>-133</v>
      </c>
      <c r="Y39" s="8"/>
      <c r="Z39" s="7"/>
      <c r="AA39" s="2">
        <f>RTD("cqg.rtd",,"StudyData",$O$25, "Vol", "VolType=auto,CoCType=Contract", "Vol","D","-9","ALL",,,"TRUE","T")</f>
        <v>1506</v>
      </c>
      <c r="AB39" s="2">
        <f>RTD("cqg.rtd",,"StudyData",$B$25, "Vol", "VolType=auto,CoCType=Contract", "Vol","D","-9","ALL",,,"TRUE","T")</f>
        <v>294507</v>
      </c>
      <c r="AC39" s="2">
        <v>-9</v>
      </c>
      <c r="AD39" s="2">
        <f>IF(RTD("cqg.rtd",,"StudyData",$B$25,"VolOI","OIType=Contract","OI","D",AF39,"all",,,,"T")="",NA(),RTD("cqg.rtd",,"StudyData",$B$25,"VolOI","OIType=Contract","OI","D",AF39,"all",,,,"T"))</f>
        <v>535580</v>
      </c>
      <c r="AE39" s="2">
        <f>IF(RTD("cqg.rtd",,"StudyData",$O$25,"VolOI","OIType=Contract","OI","D",AF39,"all",,,,"T")="",NA(),RTD("cqg.rtd",,"StudyData",$O$25,"VolOI","OIType=Contract","OI","D",AF39,"all",,,,"T"))</f>
        <v>4280</v>
      </c>
      <c r="AF39" s="2">
        <v>-10</v>
      </c>
    </row>
    <row r="40" spans="2:32" ht="21" customHeight="1" x14ac:dyDescent="0.3">
      <c r="B40" s="32"/>
      <c r="C40" s="33"/>
      <c r="D40" s="37"/>
      <c r="E40" s="7"/>
      <c r="F40" s="7"/>
      <c r="G40" s="7"/>
      <c r="H40" s="7"/>
      <c r="I40" s="11">
        <f>J40</f>
        <v>253</v>
      </c>
      <c r="J40" s="10">
        <f>RTD("cqg.rtd",,"DOMData",$B$25,"Volume","5","T")</f>
        <v>253</v>
      </c>
      <c r="K40" s="9">
        <f>RTD("cqg.rtd",,"DOMData",$B$25,"Price","-5")</f>
        <v>165170</v>
      </c>
      <c r="L40" s="8"/>
      <c r="M40" s="42">
        <f t="shared" si="6"/>
        <v>-162</v>
      </c>
      <c r="N40" s="28"/>
      <c r="O40" s="52">
        <f>RTD("cqg.rtd",,"DOMData",$O$25,"Price","-5")</f>
        <v>164060</v>
      </c>
      <c r="P40" s="10">
        <f>RTD("cqg.rtd",,"DOMData",$O$25,"Volume","5","T")</f>
        <v>91</v>
      </c>
      <c r="Q40" s="9">
        <f t="shared" si="7"/>
        <v>-91</v>
      </c>
      <c r="Y40" s="8"/>
      <c r="Z40" s="7"/>
      <c r="AA40" s="2">
        <f>RTD("cqg.rtd",,"StudyData",$O$25, "Vol", "VolType=auto,CoCType=Contract", "Vol","D","-10","ALL",,,"TRUE","T")</f>
        <v>1710</v>
      </c>
      <c r="AB40" s="2">
        <f>RTD("cqg.rtd",,"StudyData",$B$25, "Vol", "VolType=auto,CoCType=Contract", "Vol","D","-10","ALL",,,"TRUE","T")</f>
        <v>219539</v>
      </c>
      <c r="AC40" s="2">
        <v>-10</v>
      </c>
      <c r="AD40" s="2">
        <f>IF(RTD("cqg.rtd",,"StudyData",$B$25,"VolOI","OIType=Contract","OI","D",AF40,"all",,,,"T")="",NA(),RTD("cqg.rtd",,"StudyData",$B$25,"VolOI","OIType=Contract","OI","D",AF40,"all",,,,"T"))</f>
        <v>532929</v>
      </c>
      <c r="AE40" s="2">
        <f>IF(RTD("cqg.rtd",,"StudyData",$O$25,"VolOI","OIType=Contract","OI","D",AF40,"all",,,,"T")="",NA(),RTD("cqg.rtd",,"StudyData",$O$25,"VolOI","OIType=Contract","OI","D",AF40,"all",,,,"T"))</f>
        <v>3195</v>
      </c>
      <c r="AF40" s="2">
        <v>-11</v>
      </c>
    </row>
    <row r="41" spans="2:32" x14ac:dyDescent="0.3">
      <c r="B41" s="72" t="s">
        <v>27</v>
      </c>
      <c r="C41" s="73"/>
      <c r="D41" s="73"/>
      <c r="E41" s="73"/>
      <c r="F41" s="73"/>
      <c r="G41" s="74" t="s">
        <v>2</v>
      </c>
      <c r="H41" s="74"/>
      <c r="I41" s="74"/>
      <c r="J41" s="71">
        <f>RTD("cqg.rtd", ,"SystemInfo", "Linetime")</f>
        <v>42416.38962962963</v>
      </c>
      <c r="K41" s="71"/>
      <c r="L41" s="6"/>
      <c r="M41" s="6"/>
      <c r="N41" s="56" t="s">
        <v>1</v>
      </c>
      <c r="O41" s="71">
        <f>RTD("cqg.rtd", ,"SystemInfo", "Linetime")+0.041666</f>
        <v>42416.431295629627</v>
      </c>
      <c r="P41" s="71"/>
      <c r="Q41" s="74" t="s">
        <v>28</v>
      </c>
      <c r="R41" s="74"/>
      <c r="S41" s="71">
        <f>RTD("cqg.rtd", ,"SystemInfo", "Linetime")+0.25</f>
        <v>42416.63962962963</v>
      </c>
      <c r="T41" s="71"/>
      <c r="U41" s="56" t="s">
        <v>0</v>
      </c>
      <c r="V41" s="71">
        <f>RTD("cqg.rtd", ,"SystemInfo", "Linetime")+14/24</f>
        <v>42416.972962962966</v>
      </c>
      <c r="W41" s="71"/>
      <c r="X41" s="4"/>
    </row>
  </sheetData>
  <sheetProtection algorithmName="SHA-512" hashValue="oLOESTPRxXYKVxVPmxHI30IVlkdgzu4EK4ZM1idpK9z0XJEo0FMOhMaBo5aA15PM7xngeVPydxUCplzuJiVIvA==" saltValue="nEX1wPAfEU3tlDkBYWr4Sg==" spinCount="100000" sheet="1" objects="1" scenarios="1" selectLockedCells="1"/>
  <mergeCells count="53">
    <mergeCell ref="B2:X3"/>
    <mergeCell ref="B4:E4"/>
    <mergeCell ref="F4:G4"/>
    <mergeCell ref="H4:I4"/>
    <mergeCell ref="J4:K4"/>
    <mergeCell ref="O4:R4"/>
    <mergeCell ref="S4:T4"/>
    <mergeCell ref="U4:V4"/>
    <mergeCell ref="W4:X4"/>
    <mergeCell ref="L5:N5"/>
    <mergeCell ref="L6:N6"/>
    <mergeCell ref="B9:H9"/>
    <mergeCell ref="I9:K9"/>
    <mergeCell ref="L9:N9"/>
    <mergeCell ref="R9:X9"/>
    <mergeCell ref="B10:H10"/>
    <mergeCell ref="I10:K10"/>
    <mergeCell ref="L10:N10"/>
    <mergeCell ref="O10:Q10"/>
    <mergeCell ref="R10:X10"/>
    <mergeCell ref="O9:Q9"/>
    <mergeCell ref="B16:C16"/>
    <mergeCell ref="I16:J16"/>
    <mergeCell ref="P16:Q16"/>
    <mergeCell ref="B23:E23"/>
    <mergeCell ref="F23:G23"/>
    <mergeCell ref="H23:I23"/>
    <mergeCell ref="J23:K23"/>
    <mergeCell ref="O23:R23"/>
    <mergeCell ref="B28:H28"/>
    <mergeCell ref="I28:K28"/>
    <mergeCell ref="L28:N28"/>
    <mergeCell ref="O28:Q28"/>
    <mergeCell ref="R28:X28"/>
    <mergeCell ref="I35:J35"/>
    <mergeCell ref="P35:Q35"/>
    <mergeCell ref="S23:T23"/>
    <mergeCell ref="U23:V23"/>
    <mergeCell ref="W23:X23"/>
    <mergeCell ref="L24:N24"/>
    <mergeCell ref="L25:N25"/>
    <mergeCell ref="B29:H29"/>
    <mergeCell ref="I29:K29"/>
    <mergeCell ref="L29:N29"/>
    <mergeCell ref="O29:Q29"/>
    <mergeCell ref="R29:X29"/>
    <mergeCell ref="V41:W41"/>
    <mergeCell ref="B41:F41"/>
    <mergeCell ref="G41:I41"/>
    <mergeCell ref="J41:K41"/>
    <mergeCell ref="O41:P41"/>
    <mergeCell ref="Q41:R41"/>
    <mergeCell ref="S41:T41"/>
  </mergeCells>
  <conditionalFormatting sqref="B11:B15">
    <cfRule type="dataBar" priority="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{7CDE180C-E077-4D32-81E1-41767DEE0A12}</x14:id>
        </ext>
      </extLst>
    </cfRule>
  </conditionalFormatting>
  <conditionalFormatting sqref="B17:B21">
    <cfRule type="dataBar" priority="4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{836A64B5-0DA8-402C-BDB0-5EA31BEC2677}</x14:id>
        </ext>
      </extLst>
    </cfRule>
  </conditionalFormatting>
  <conditionalFormatting sqref="D11:D15">
    <cfRule type="colorScale" priority="44">
      <colorScale>
        <cfvo type="min"/>
        <cfvo type="max"/>
        <color theme="5" tint="0.39997558519241921"/>
        <color rgb="FFFF0000"/>
      </colorScale>
    </cfRule>
  </conditionalFormatting>
  <conditionalFormatting sqref="B30:B34">
    <cfRule type="dataBar" priority="4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{AA96A038-AB13-42A8-B0D7-25B1F6B404A8}</x14:id>
        </ext>
      </extLst>
    </cfRule>
  </conditionalFormatting>
  <conditionalFormatting sqref="B37:B40">
    <cfRule type="dataBar" priority="4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{7F2830B3-CBF4-49C6-BB8D-BBDDFA528ABB}</x14:id>
        </ext>
      </extLst>
    </cfRule>
  </conditionalFormatting>
  <conditionalFormatting sqref="D17:D21">
    <cfRule type="colorScale" priority="41">
      <colorScale>
        <cfvo type="min"/>
        <cfvo type="max"/>
        <color rgb="FF00B050"/>
        <color rgb="FFFFFF00"/>
      </colorScale>
    </cfRule>
  </conditionalFormatting>
  <conditionalFormatting sqref="D30:D34">
    <cfRule type="colorScale" priority="40">
      <colorScale>
        <cfvo type="min"/>
        <cfvo type="max"/>
        <color theme="5" tint="0.39997558519241921"/>
        <color rgb="FFFF0000"/>
      </colorScale>
    </cfRule>
  </conditionalFormatting>
  <conditionalFormatting sqref="D37:D40">
    <cfRule type="colorScale" priority="39">
      <colorScale>
        <cfvo type="min"/>
        <cfvo type="max"/>
        <color rgb="FF00B050"/>
        <color rgb="FFFFFF00"/>
      </colorScale>
    </cfRule>
  </conditionalFormatting>
  <conditionalFormatting sqref="M11:M15">
    <cfRule type="dataBar" priority="3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{A465CF1D-9B1D-4F63-B184-644C3F7FA312}</x14:id>
        </ext>
      </extLst>
    </cfRule>
  </conditionalFormatting>
  <conditionalFormatting sqref="B35:B36">
    <cfRule type="dataBar" priority="2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{8471CCC3-CAAB-42CF-8A23-BEABA4DBFD12}</x14:id>
        </ext>
      </extLst>
    </cfRule>
  </conditionalFormatting>
  <conditionalFormatting sqref="D35:D36">
    <cfRule type="colorScale" priority="28">
      <colorScale>
        <cfvo type="min"/>
        <cfvo type="max"/>
        <color theme="5" tint="0.39997558519241921"/>
        <color rgb="FFFF0000"/>
      </colorScale>
    </cfRule>
  </conditionalFormatting>
  <conditionalFormatting sqref="M30:M34">
    <cfRule type="dataBar" priority="1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{E4940588-E553-4F74-8284-AEAA5B686B5E}</x14:id>
        </ext>
      </extLst>
    </cfRule>
  </conditionalFormatting>
  <conditionalFormatting sqref="M36:M40">
    <cfRule type="dataBar" priority="1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{56F85F15-545B-4205-9D27-3EEF61DDF511}</x14:id>
        </ext>
      </extLst>
    </cfRule>
  </conditionalFormatting>
  <conditionalFormatting sqref="M17:M21">
    <cfRule type="dataBar" priority="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{931C2D74-48DA-4545-8C0F-E76E3CAF5EFE}</x14:id>
        </ext>
      </extLst>
    </cfRule>
  </conditionalFormatting>
  <conditionalFormatting sqref="K11:K15">
    <cfRule type="colorScale" priority="16">
      <colorScale>
        <cfvo type="min"/>
        <cfvo type="max"/>
        <color theme="5" tint="0.39997558519241921"/>
        <color rgb="FFFF0000"/>
      </colorScale>
    </cfRule>
  </conditionalFormatting>
  <conditionalFormatting sqref="I11:I15">
    <cfRule type="dataBar" priority="1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{12E803E9-1229-44BE-A23A-E86A7AC87585}</x14:id>
        </ext>
      </extLst>
    </cfRule>
  </conditionalFormatting>
  <conditionalFormatting sqref="K17:K21">
    <cfRule type="colorScale" priority="14">
      <colorScale>
        <cfvo type="min"/>
        <cfvo type="max"/>
        <color rgb="FF00B050"/>
        <color rgb="FFFFFF00"/>
      </colorScale>
    </cfRule>
  </conditionalFormatting>
  <conditionalFormatting sqref="I17:I21">
    <cfRule type="dataBar" priority="1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{333FCCA0-7EF8-4740-9F30-13EBAB53A494}</x14:id>
        </ext>
      </extLst>
    </cfRule>
  </conditionalFormatting>
  <conditionalFormatting sqref="O11:O15">
    <cfRule type="colorScale" priority="12">
      <colorScale>
        <cfvo type="min"/>
        <cfvo type="max"/>
        <color theme="5" tint="0.39997558519241921"/>
        <color rgb="FFFF0000"/>
      </colorScale>
    </cfRule>
  </conditionalFormatting>
  <conditionalFormatting sqref="Q11:Q15">
    <cfRule type="dataBar" priority="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{115233B6-406B-418C-A566-E23FD14FD9A1}</x14:id>
        </ext>
      </extLst>
    </cfRule>
  </conditionalFormatting>
  <conditionalFormatting sqref="O17:O21">
    <cfRule type="colorScale" priority="10">
      <colorScale>
        <cfvo type="min"/>
        <cfvo type="max"/>
        <color rgb="FF00B050"/>
        <color rgb="FFFFFF00"/>
      </colorScale>
    </cfRule>
  </conditionalFormatting>
  <conditionalFormatting sqref="Q17:Q21">
    <cfRule type="dataBar" priority="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{DC6169DC-7266-4932-99A4-5B72E18614E2}</x14:id>
        </ext>
      </extLst>
    </cfRule>
  </conditionalFormatting>
  <conditionalFormatting sqref="I30:I34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{07154973-A2E9-44B1-B3AD-5954E412E5C7}</x14:id>
        </ext>
      </extLst>
    </cfRule>
  </conditionalFormatting>
  <conditionalFormatting sqref="K30:K34">
    <cfRule type="colorScale" priority="7">
      <colorScale>
        <cfvo type="min"/>
        <cfvo type="max"/>
        <color theme="5" tint="0.39997558519241921"/>
        <color rgb="FFFF0000"/>
      </colorScale>
    </cfRule>
  </conditionalFormatting>
  <conditionalFormatting sqref="Q30:Q34">
    <cfRule type="dataBar" priority="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{B3A35C67-95F0-4A4C-81B7-310E67394BFB}</x14:id>
        </ext>
      </extLst>
    </cfRule>
  </conditionalFormatting>
  <conditionalFormatting sqref="O30:O34">
    <cfRule type="colorScale" priority="5">
      <colorScale>
        <cfvo type="min"/>
        <cfvo type="max"/>
        <color theme="5" tint="0.39997558519241921"/>
        <color rgb="FFFF0000"/>
      </colorScale>
    </cfRule>
  </conditionalFormatting>
  <conditionalFormatting sqref="I36:I40">
    <cfRule type="dataBar" priority="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{F414F1B8-A612-4ACC-B535-46150B1C2326}</x14:id>
        </ext>
      </extLst>
    </cfRule>
  </conditionalFormatting>
  <conditionalFormatting sqref="K36:K40">
    <cfRule type="colorScale" priority="3">
      <colorScale>
        <cfvo type="min"/>
        <cfvo type="max"/>
        <color rgb="FF00B050"/>
        <color rgb="FFFFFF00"/>
      </colorScale>
    </cfRule>
  </conditionalFormatting>
  <conditionalFormatting sqref="Q36:Q40">
    <cfRule type="dataBar" priority="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{1BCC319D-AD45-471B-9B4C-3939939457BE}</x14:id>
        </ext>
      </extLst>
    </cfRule>
  </conditionalFormatting>
  <conditionalFormatting sqref="O36:O40">
    <cfRule type="colorScale" priority="1">
      <colorScale>
        <cfvo type="min"/>
        <cfvo type="max"/>
        <color rgb="FF00B050"/>
        <color rgb="FFFFFF0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DE180C-E077-4D32-81E1-41767DEE0A1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B11:B15</xm:sqref>
        </x14:conditionalFormatting>
        <x14:conditionalFormatting xmlns:xm="http://schemas.microsoft.com/office/excel/2006/main">
          <x14:cfRule type="dataBar" id="{836A64B5-0DA8-402C-BDB0-5EA31BEC267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B17:B21</xm:sqref>
        </x14:conditionalFormatting>
        <x14:conditionalFormatting xmlns:xm="http://schemas.microsoft.com/office/excel/2006/main">
          <x14:cfRule type="dataBar" id="{AA96A038-AB13-42A8-B0D7-25B1F6B40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B30:B34</xm:sqref>
        </x14:conditionalFormatting>
        <x14:conditionalFormatting xmlns:xm="http://schemas.microsoft.com/office/excel/2006/main">
          <x14:cfRule type="dataBar" id="{7F2830B3-CBF4-49C6-BB8D-BBDDFA528AB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B37:B40</xm:sqref>
        </x14:conditionalFormatting>
        <x14:conditionalFormatting xmlns:xm="http://schemas.microsoft.com/office/excel/2006/main">
          <x14:cfRule type="dataBar" id="{A465CF1D-9B1D-4F63-B184-644C3F7FA312}">
            <x14:dataBar minLength="0" maxLength="100" border="1" negativeBarColorSameAsPositive="1" axisPosition="middle">
              <x14:cfvo type="autoMin"/>
              <x14:cfvo type="autoMax"/>
              <x14:borderColor rgb="FF638EC6"/>
              <x14:axisColor rgb="FF002060"/>
            </x14:dataBar>
          </x14:cfRule>
          <xm:sqref>M11:M15</xm:sqref>
        </x14:conditionalFormatting>
        <x14:conditionalFormatting xmlns:xm="http://schemas.microsoft.com/office/excel/2006/main">
          <x14:cfRule type="dataBar" id="{8471CCC3-CAAB-42CF-8A23-BEABA4DBFD1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B35:B36</xm:sqref>
        </x14:conditionalFormatting>
        <x14:conditionalFormatting xmlns:xm="http://schemas.microsoft.com/office/excel/2006/main">
          <x14:cfRule type="dataBar" id="{E4940588-E553-4F74-8284-AEAA5B686B5E}">
            <x14:dataBar minLength="0" maxLength="100" border="1" negativeBarColorSameAsPositive="1" axisPosition="middle">
              <x14:cfvo type="autoMin"/>
              <x14:cfvo type="autoMax"/>
              <x14:borderColor rgb="FF638EC6"/>
              <x14:axisColor rgb="FF002060"/>
            </x14:dataBar>
          </x14:cfRule>
          <xm:sqref>M30:M34</xm:sqref>
        </x14:conditionalFormatting>
        <x14:conditionalFormatting xmlns:xm="http://schemas.microsoft.com/office/excel/2006/main">
          <x14:cfRule type="dataBar" id="{56F85F15-545B-4205-9D27-3EEF61DDF511}">
            <x14:dataBar minLength="0" maxLength="100" border="1" negativeBarColorSameAsPositive="1" axisPosition="middle">
              <x14:cfvo type="autoMin"/>
              <x14:cfvo type="autoMax"/>
              <x14:borderColor rgb="FF638EC6"/>
              <x14:axisColor rgb="FF002060"/>
            </x14:dataBar>
          </x14:cfRule>
          <xm:sqref>M36:M40</xm:sqref>
        </x14:conditionalFormatting>
        <x14:conditionalFormatting xmlns:xm="http://schemas.microsoft.com/office/excel/2006/main">
          <x14:cfRule type="dataBar" id="{931C2D74-48DA-4545-8C0F-E76E3CAF5EFE}">
            <x14:dataBar minLength="0" maxLength="100" border="1" negativeBarColorSameAsPositive="1" axisPosition="middle">
              <x14:cfvo type="autoMin"/>
              <x14:cfvo type="autoMax"/>
              <x14:borderColor rgb="FF638EC6"/>
              <x14:axisColor rgb="FF000000"/>
            </x14:dataBar>
          </x14:cfRule>
          <xm:sqref>M17:M21</xm:sqref>
        </x14:conditionalFormatting>
        <x14:conditionalFormatting xmlns:xm="http://schemas.microsoft.com/office/excel/2006/main">
          <x14:cfRule type="dataBar" id="{12E803E9-1229-44BE-A23A-E86A7AC8758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I11:I15</xm:sqref>
        </x14:conditionalFormatting>
        <x14:conditionalFormatting xmlns:xm="http://schemas.microsoft.com/office/excel/2006/main">
          <x14:cfRule type="dataBar" id="{333FCCA0-7EF8-4740-9F30-13EBAB53A4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I17:I21</xm:sqref>
        </x14:conditionalFormatting>
        <x14:conditionalFormatting xmlns:xm="http://schemas.microsoft.com/office/excel/2006/main">
          <x14:cfRule type="dataBar" id="{115233B6-406B-418C-A566-E23FD14FD9A1}">
            <x14:dataBar minLength="0" maxLength="100" border="1" negativeBarColorSameAsPositive="1">
              <x14:cfvo type="autoMin"/>
              <x14:cfvo type="autoMax"/>
              <x14:borderColor rgb="FF638EC6"/>
              <x14:axisColor rgb="FF000000"/>
            </x14:dataBar>
          </x14:cfRule>
          <xm:sqref>Q11:Q15</xm:sqref>
        </x14:conditionalFormatting>
        <x14:conditionalFormatting xmlns:xm="http://schemas.microsoft.com/office/excel/2006/main">
          <x14:cfRule type="dataBar" id="{DC6169DC-7266-4932-99A4-5B72E18614E2}">
            <x14:dataBar minLength="0" maxLength="100" border="1" negativeBarColorSameAsPositive="1">
              <x14:cfvo type="autoMin"/>
              <x14:cfvo type="autoMax"/>
              <x14:borderColor rgb="FF638EC6"/>
              <x14:axisColor rgb="FF000000"/>
            </x14:dataBar>
          </x14:cfRule>
          <xm:sqref>Q17:Q21</xm:sqref>
        </x14:conditionalFormatting>
        <x14:conditionalFormatting xmlns:xm="http://schemas.microsoft.com/office/excel/2006/main">
          <x14:cfRule type="dataBar" id="{07154973-A2E9-44B1-B3AD-5954E412E5C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I30:I34</xm:sqref>
        </x14:conditionalFormatting>
        <x14:conditionalFormatting xmlns:xm="http://schemas.microsoft.com/office/excel/2006/main">
          <x14:cfRule type="dataBar" id="{B3A35C67-95F0-4A4C-81B7-310E67394BFB}">
            <x14:dataBar minLength="0" maxLength="100" border="1" negativeBarColorSameAsPositive="1">
              <x14:cfvo type="autoMin"/>
              <x14:cfvo type="autoMax"/>
              <x14:borderColor rgb="FF638EC6"/>
              <x14:axisColor rgb="FF000000"/>
            </x14:dataBar>
          </x14:cfRule>
          <xm:sqref>Q30:Q34</xm:sqref>
        </x14:conditionalFormatting>
        <x14:conditionalFormatting xmlns:xm="http://schemas.microsoft.com/office/excel/2006/main">
          <x14:cfRule type="dataBar" id="{F414F1B8-A612-4ACC-B535-46150B1C232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I36:I40</xm:sqref>
        </x14:conditionalFormatting>
        <x14:conditionalFormatting xmlns:xm="http://schemas.microsoft.com/office/excel/2006/main">
          <x14:cfRule type="dataBar" id="{1BCC319D-AD45-471B-9B4C-3939939457BE}">
            <x14:dataBar minLength="0" maxLength="100" border="1" negativeBarColorSameAsPositive="1">
              <x14:cfvo type="autoMin"/>
              <x14:cfvo type="autoMax"/>
              <x14:borderColor rgb="FF638EC6"/>
              <x14:axisColor rgb="FF000000"/>
            </x14:dataBar>
          </x14:cfRule>
          <xm:sqref>Q36:Q40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Volume &amp; OI Charts</vt:lpstr>
      <vt:lpstr>Volume &amp; OI Charts (2)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2013-05-28T16:13:13Z</dcterms:created>
  <dcterms:modified xsi:type="dcterms:W3CDTF">2016-02-16T15:21:05Z</dcterms:modified>
</cp:coreProperties>
</file>