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HorizontalScroll="0" showVerticalScroll="0" showSheetTabs="0" xWindow="360" yWindow="180" windowWidth="18240" windowHeight="11640"/>
  </bookViews>
  <sheets>
    <sheet name="Main" sheetId="2" r:id="rId1"/>
    <sheet name="GLE" sheetId="3" r:id="rId2"/>
    <sheet name="GF" sheetId="6" r:id="rId3"/>
    <sheet name="HE" sheetId="5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AJ34" i="2" l="1"/>
  <c r="AH34" i="2"/>
  <c r="AF34" i="2"/>
  <c r="AD34" i="2"/>
  <c r="AB34" i="2"/>
  <c r="Z34" i="2"/>
  <c r="X34" i="2"/>
  <c r="V34" i="2"/>
  <c r="T34" i="2"/>
  <c r="AH13" i="5"/>
  <c r="AH12" i="5"/>
  <c r="AH11" i="5"/>
  <c r="AH10" i="5"/>
  <c r="AH9" i="5"/>
  <c r="AH8" i="5"/>
  <c r="AH7" i="5"/>
  <c r="AH6" i="5"/>
  <c r="AH5" i="5"/>
  <c r="AH4" i="5"/>
  <c r="AH3" i="5"/>
  <c r="AH2" i="5"/>
  <c r="P13" i="5"/>
  <c r="P12" i="5"/>
  <c r="P11" i="5"/>
  <c r="P10" i="5"/>
  <c r="P9" i="5"/>
  <c r="P8" i="5"/>
  <c r="P7" i="5"/>
  <c r="P6" i="5"/>
  <c r="P5" i="5"/>
  <c r="P4" i="5"/>
  <c r="P3" i="5"/>
  <c r="P2" i="5"/>
  <c r="AJ7" i="2"/>
  <c r="AH7" i="2"/>
  <c r="AF7" i="2"/>
  <c r="AD7" i="2"/>
  <c r="AB7" i="2"/>
  <c r="Z7" i="2"/>
  <c r="X7" i="2"/>
  <c r="V7" i="2"/>
  <c r="AC10" i="2"/>
  <c r="W36" i="2"/>
  <c r="AI36" i="2"/>
  <c r="N8" i="2"/>
  <c r="L8" i="2"/>
  <c r="AA10" i="2"/>
  <c r="Y10" i="2"/>
  <c r="AG36" i="2"/>
  <c r="AE8" i="2"/>
  <c r="L10" i="2"/>
  <c r="AA8" i="2"/>
  <c r="AK8" i="2"/>
  <c r="U8" i="2"/>
  <c r="H8" i="2"/>
  <c r="AE10" i="2"/>
  <c r="AI10" i="2"/>
  <c r="AG10" i="2"/>
  <c r="Y36" i="2"/>
  <c r="F8" i="2"/>
  <c r="J10" i="2"/>
  <c r="J8" i="2"/>
  <c r="Y8" i="2"/>
  <c r="AK36" i="2"/>
  <c r="F10" i="2"/>
  <c r="S10" i="2"/>
  <c r="S8" i="2"/>
  <c r="AA36" i="2"/>
  <c r="U10" i="2"/>
  <c r="Q8" i="2"/>
  <c r="AK10" i="2"/>
  <c r="H10" i="2"/>
  <c r="AE36" i="2"/>
  <c r="Q10" i="2"/>
  <c r="AG8" i="2"/>
  <c r="AC36" i="2"/>
  <c r="U36" i="2"/>
  <c r="AI8" i="2"/>
  <c r="AC8" i="2"/>
  <c r="N10" i="2"/>
  <c r="AF38" i="2"/>
  <c r="Z37" i="2"/>
  <c r="AD36" i="2"/>
  <c r="X36" i="2"/>
  <c r="AB37" i="2"/>
  <c r="AA37" i="2"/>
  <c r="AE37" i="2"/>
  <c r="AJ38" i="2"/>
  <c r="V38" i="2"/>
  <c r="AB36" i="2"/>
  <c r="Y37" i="2"/>
  <c r="AH38" i="2"/>
  <c r="AJ36" i="2"/>
  <c r="V33" i="2"/>
  <c r="AC37" i="2"/>
  <c r="W37" i="2"/>
  <c r="V37" i="2"/>
  <c r="AF36" i="2"/>
  <c r="AK37" i="2"/>
  <c r="AB38" i="2"/>
  <c r="V36" i="2"/>
  <c r="AJ37" i="2"/>
  <c r="AH36" i="2"/>
  <c r="AD38" i="2"/>
  <c r="AI37" i="2"/>
  <c r="AH37" i="2"/>
  <c r="Z36" i="2"/>
  <c r="X38" i="2"/>
  <c r="T37" i="2"/>
  <c r="Z38" i="2"/>
  <c r="X37" i="2"/>
  <c r="U37" i="2"/>
  <c r="AD37" i="2"/>
  <c r="T38" i="2"/>
  <c r="AF37" i="2"/>
  <c r="F4" i="2"/>
  <c r="AG37" i="2"/>
  <c r="T36" i="2"/>
  <c r="Z53" i="2"/>
  <c r="N53" i="2"/>
  <c r="X4" i="2"/>
  <c r="AF53" i="2"/>
  <c r="T53" i="2"/>
  <c r="Q1" i="6" l="1"/>
  <c r="Q1" i="3"/>
  <c r="AF11" i="2"/>
  <c r="AH11" i="2"/>
  <c r="AJ6" i="2"/>
  <c r="M11" i="2"/>
  <c r="AF6" i="2"/>
  <c r="T11" i="2"/>
  <c r="R11" i="2"/>
  <c r="G11" i="2"/>
  <c r="K11" i="2"/>
  <c r="P11" i="2"/>
  <c r="AD6" i="2"/>
  <c r="X11" i="2"/>
  <c r="AD11" i="2"/>
  <c r="AB11" i="2"/>
  <c r="AB6" i="2"/>
  <c r="I11" i="2"/>
  <c r="X6" i="2"/>
  <c r="AH6" i="2"/>
  <c r="AJ11" i="2"/>
  <c r="B11" i="2"/>
  <c r="Z11" i="2"/>
  <c r="E11" i="2"/>
  <c r="Z6" i="2"/>
  <c r="AH10" i="2"/>
  <c r="E8" i="2"/>
  <c r="G10" i="2"/>
  <c r="AF10" i="2"/>
  <c r="K10" i="2"/>
  <c r="R8" i="2"/>
  <c r="K8" i="2"/>
  <c r="AB10" i="2"/>
  <c r="E10" i="2"/>
  <c r="T8" i="2"/>
  <c r="R10" i="2"/>
  <c r="Z8" i="2"/>
  <c r="I10" i="2"/>
  <c r="X8" i="2"/>
  <c r="AD10" i="2"/>
  <c r="AJ10" i="2"/>
  <c r="AF8" i="2"/>
  <c r="X10" i="2"/>
  <c r="P10" i="2"/>
  <c r="Z10" i="2"/>
  <c r="P8" i="2"/>
  <c r="V11" i="2"/>
  <c r="S36" i="5"/>
  <c r="G8" i="2"/>
  <c r="I8" i="2"/>
  <c r="M10" i="2"/>
  <c r="S35" i="5"/>
  <c r="S36" i="3"/>
  <c r="M8" i="2"/>
  <c r="T10" i="2"/>
  <c r="S35" i="3"/>
  <c r="AB8" i="2"/>
  <c r="AD8" i="2"/>
  <c r="AJ8" i="2"/>
  <c r="AH8" i="2"/>
  <c r="S36" i="6"/>
  <c r="S35" i="6"/>
  <c r="R36" i="6" l="1"/>
  <c r="R36" i="5"/>
  <c r="R36" i="3"/>
  <c r="Q2" i="5"/>
  <c r="Q2" i="3"/>
  <c r="Q2" i="6"/>
  <c r="P2" i="6" l="1"/>
  <c r="AH2" i="6" s="1"/>
  <c r="P2" i="3"/>
  <c r="AH2" i="3" s="1"/>
  <c r="B7" i="2" s="1"/>
  <c r="A2" i="6"/>
  <c r="AT36" i="2"/>
  <c r="R37" i="6"/>
  <c r="A2" i="5"/>
  <c r="AW36" i="2"/>
  <c r="R37" i="5"/>
  <c r="AQ36" i="2"/>
  <c r="A2" i="3"/>
  <c r="R37" i="3"/>
  <c r="Q3" i="5"/>
  <c r="T2" i="3"/>
  <c r="AP57" i="2"/>
  <c r="U2" i="5"/>
  <c r="AJ2" i="3"/>
  <c r="S2" i="3"/>
  <c r="B2" i="3"/>
  <c r="B10" i="2"/>
  <c r="B6" i="2"/>
  <c r="B8" i="2"/>
  <c r="S2" i="5"/>
  <c r="U2" i="3"/>
  <c r="R2" i="5"/>
  <c r="Q3" i="3"/>
  <c r="R2" i="3"/>
  <c r="T2" i="5"/>
  <c r="C8" i="2"/>
  <c r="AJ2" i="5"/>
  <c r="C10" i="2"/>
  <c r="B2" i="5"/>
  <c r="AU36" i="2"/>
  <c r="AM30" i="2"/>
  <c r="AJ2" i="6"/>
  <c r="W8" i="2"/>
  <c r="AM29" i="2"/>
  <c r="V8" i="2"/>
  <c r="U2" i="6"/>
  <c r="B36" i="2"/>
  <c r="R2" i="6"/>
  <c r="T2" i="6"/>
  <c r="S2" i="6"/>
  <c r="V6" i="2"/>
  <c r="W10" i="2"/>
  <c r="Q3" i="6"/>
  <c r="B34" i="2"/>
  <c r="V10" i="2"/>
  <c r="B2" i="6"/>
  <c r="AQ57" i="2"/>
  <c r="AM33" i="2" l="1"/>
  <c r="B33" i="2"/>
  <c r="AM32" i="2" s="1"/>
  <c r="P3" i="6"/>
  <c r="AH3" i="6" s="1"/>
  <c r="P3" i="3"/>
  <c r="AH3" i="3" s="1"/>
  <c r="E7" i="2" s="1"/>
  <c r="AR57" i="2"/>
  <c r="AC2" i="3"/>
  <c r="AF2" i="3" s="1"/>
  <c r="AL2" i="6"/>
  <c r="A3" i="6"/>
  <c r="AT37" i="2"/>
  <c r="AB2" i="6"/>
  <c r="C2" i="6"/>
  <c r="AC2" i="6"/>
  <c r="AF2" i="6" s="1"/>
  <c r="R38" i="6"/>
  <c r="A3" i="5"/>
  <c r="AW37" i="2"/>
  <c r="C2" i="5"/>
  <c r="AL2" i="5"/>
  <c r="AC2" i="5"/>
  <c r="AF2" i="5" s="1"/>
  <c r="AB2" i="5"/>
  <c r="R38" i="5"/>
  <c r="AQ37" i="2"/>
  <c r="A3" i="3"/>
  <c r="AB2" i="3"/>
  <c r="C2" i="3"/>
  <c r="AL2" i="3"/>
  <c r="R38" i="3"/>
  <c r="AJ3" i="5"/>
  <c r="Q4" i="5"/>
  <c r="R3" i="3"/>
  <c r="AJ3" i="3"/>
  <c r="U3" i="3"/>
  <c r="AV36" i="2"/>
  <c r="B3" i="5"/>
  <c r="Q4" i="3"/>
  <c r="T3" i="5"/>
  <c r="S3" i="5"/>
  <c r="S3" i="3"/>
  <c r="T3" i="3"/>
  <c r="AO36" i="2"/>
  <c r="R3" i="5"/>
  <c r="U3" i="5"/>
  <c r="AU37" i="2"/>
  <c r="E6" i="2"/>
  <c r="AO37" i="2"/>
  <c r="B3" i="3"/>
  <c r="R3" i="6"/>
  <c r="S3" i="6"/>
  <c r="E34" i="2"/>
  <c r="U3" i="6"/>
  <c r="Q4" i="6"/>
  <c r="E36" i="2"/>
  <c r="AJ3" i="6"/>
  <c r="T3" i="6"/>
  <c r="AN30" i="2"/>
  <c r="AR36" i="2"/>
  <c r="AN29" i="2"/>
  <c r="B3" i="6"/>
  <c r="AR37" i="2"/>
  <c r="AN33" i="2" l="1"/>
  <c r="E33" i="2"/>
  <c r="AN32" i="2" s="1"/>
  <c r="AS57" i="2"/>
  <c r="P4" i="3"/>
  <c r="AH4" i="3" s="1"/>
  <c r="G7" i="2" s="1"/>
  <c r="P4" i="6"/>
  <c r="AH4" i="6" s="1"/>
  <c r="C3" i="6"/>
  <c r="AB3" i="6"/>
  <c r="AT38" i="2"/>
  <c r="A4" i="6"/>
  <c r="AL3" i="6"/>
  <c r="AC3" i="6"/>
  <c r="AF3" i="6" s="1"/>
  <c r="F2" i="6"/>
  <c r="L2" i="6"/>
  <c r="K2" i="6"/>
  <c r="V9" i="6" s="1"/>
  <c r="E2" i="6"/>
  <c r="M2" i="6"/>
  <c r="H2" i="6"/>
  <c r="G2" i="6"/>
  <c r="D2" i="6"/>
  <c r="J2" i="6"/>
  <c r="V8" i="6" s="1"/>
  <c r="O2" i="6"/>
  <c r="N2" i="6"/>
  <c r="I2" i="6"/>
  <c r="V7" i="6" s="1"/>
  <c r="R39" i="6"/>
  <c r="A4" i="5"/>
  <c r="AW38" i="2"/>
  <c r="C3" i="5"/>
  <c r="AC3" i="5"/>
  <c r="AF3" i="5" s="1"/>
  <c r="AB3" i="5"/>
  <c r="AL3" i="5"/>
  <c r="R39" i="5"/>
  <c r="O2" i="5"/>
  <c r="V13" i="5" s="1"/>
  <c r="K2" i="5"/>
  <c r="V9" i="5" s="1"/>
  <c r="G2" i="5"/>
  <c r="N2" i="5"/>
  <c r="V12" i="5" s="1"/>
  <c r="J2" i="5"/>
  <c r="V8" i="5" s="1"/>
  <c r="F2" i="5"/>
  <c r="M2" i="5"/>
  <c r="V11" i="5" s="1"/>
  <c r="I2" i="5"/>
  <c r="V7" i="5" s="1"/>
  <c r="E2" i="5"/>
  <c r="H2" i="5"/>
  <c r="D2" i="5"/>
  <c r="L2" i="5"/>
  <c r="V10" i="5" s="1"/>
  <c r="A4" i="3"/>
  <c r="AQ38" i="2"/>
  <c r="C3" i="3"/>
  <c r="AC3" i="3"/>
  <c r="AF3" i="3" s="1"/>
  <c r="AL3" i="3"/>
  <c r="AB3" i="3"/>
  <c r="O2" i="3"/>
  <c r="K2" i="3"/>
  <c r="V9" i="3" s="1"/>
  <c r="G2" i="3"/>
  <c r="N2" i="3"/>
  <c r="J2" i="3"/>
  <c r="V8" i="3" s="1"/>
  <c r="F2" i="3"/>
  <c r="M2" i="3"/>
  <c r="I2" i="3"/>
  <c r="E2" i="3"/>
  <c r="L2" i="3"/>
  <c r="V10" i="3" s="1"/>
  <c r="H2" i="3"/>
  <c r="D2" i="3"/>
  <c r="R39" i="3"/>
  <c r="AP58" i="2"/>
  <c r="Q5" i="5"/>
  <c r="T4" i="3"/>
  <c r="Q5" i="3"/>
  <c r="S4" i="5"/>
  <c r="AP59" i="2"/>
  <c r="AO38" i="2"/>
  <c r="R4" i="3"/>
  <c r="T4" i="5"/>
  <c r="U4" i="5"/>
  <c r="AJ4" i="3"/>
  <c r="G6" i="2"/>
  <c r="R4" i="5"/>
  <c r="AJ4" i="5"/>
  <c r="U4" i="3"/>
  <c r="AV37" i="2"/>
  <c r="S4" i="3"/>
  <c r="B4" i="5"/>
  <c r="AU38" i="2"/>
  <c r="B4" i="3"/>
  <c r="AJ4" i="6"/>
  <c r="AO29" i="2"/>
  <c r="U4" i="6"/>
  <c r="AO30" i="2"/>
  <c r="S4" i="6"/>
  <c r="G36" i="2"/>
  <c r="G34" i="2"/>
  <c r="Q5" i="6"/>
  <c r="AQ58" i="2"/>
  <c r="T4" i="6"/>
  <c r="W7" i="6"/>
  <c r="X9" i="6"/>
  <c r="R4" i="6"/>
  <c r="X8" i="6"/>
  <c r="AQ59" i="2"/>
  <c r="B4" i="6"/>
  <c r="AR58" i="2" l="1"/>
  <c r="AS58" i="2"/>
  <c r="AO33" i="2"/>
  <c r="G33" i="2"/>
  <c r="AO32" i="2" s="1"/>
  <c r="P5" i="6"/>
  <c r="AH5" i="6" s="1"/>
  <c r="P5" i="3"/>
  <c r="AH5" i="3" s="1"/>
  <c r="I7" i="2" s="1"/>
  <c r="AR59" i="2"/>
  <c r="AT39" i="2"/>
  <c r="A5" i="6"/>
  <c r="AL4" i="6"/>
  <c r="C4" i="6"/>
  <c r="AB4" i="6"/>
  <c r="AC4" i="6"/>
  <c r="AF4" i="6" s="1"/>
  <c r="V5" i="6"/>
  <c r="V6" i="6"/>
  <c r="R40" i="6"/>
  <c r="V4" i="6"/>
  <c r="V2" i="6"/>
  <c r="V3" i="6"/>
  <c r="D3" i="6"/>
  <c r="AL4" i="5"/>
  <c r="AC4" i="5"/>
  <c r="AF4" i="5" s="1"/>
  <c r="A5" i="5"/>
  <c r="AW39" i="2"/>
  <c r="AB4" i="5"/>
  <c r="C4" i="5"/>
  <c r="V4" i="5"/>
  <c r="R40" i="5"/>
  <c r="V2" i="5"/>
  <c r="V5" i="5"/>
  <c r="V6" i="5"/>
  <c r="D3" i="5"/>
  <c r="V3" i="5"/>
  <c r="C4" i="3"/>
  <c r="A5" i="3"/>
  <c r="AQ39" i="2"/>
  <c r="AB4" i="3"/>
  <c r="AL4" i="3"/>
  <c r="AC4" i="3"/>
  <c r="AF4" i="3" s="1"/>
  <c r="V5" i="3"/>
  <c r="V6" i="3"/>
  <c r="V4" i="3"/>
  <c r="R40" i="3"/>
  <c r="V3" i="3"/>
  <c r="D3" i="3"/>
  <c r="V2" i="3"/>
  <c r="V7" i="3"/>
  <c r="AK8" i="5"/>
  <c r="Z10" i="5"/>
  <c r="AK11" i="5"/>
  <c r="AI13" i="5"/>
  <c r="Y11" i="5"/>
  <c r="Z11" i="5"/>
  <c r="AK10" i="5"/>
  <c r="B5" i="3"/>
  <c r="Y8" i="3"/>
  <c r="AK10" i="3"/>
  <c r="W10" i="5"/>
  <c r="Q6" i="5"/>
  <c r="Y10" i="3"/>
  <c r="AK12" i="5"/>
  <c r="Y10" i="5"/>
  <c r="AK13" i="5"/>
  <c r="X10" i="5"/>
  <c r="Y13" i="5"/>
  <c r="X12" i="5"/>
  <c r="AJ5" i="3"/>
  <c r="AI8" i="3"/>
  <c r="X10" i="3"/>
  <c r="AK9" i="3"/>
  <c r="Z7" i="5"/>
  <c r="R5" i="5"/>
  <c r="W10" i="3"/>
  <c r="X9" i="3"/>
  <c r="AJ5" i="5"/>
  <c r="X9" i="5"/>
  <c r="AO39" i="2"/>
  <c r="Z9" i="3"/>
  <c r="X7" i="5"/>
  <c r="W8" i="5"/>
  <c r="AP60" i="2"/>
  <c r="Z9" i="5"/>
  <c r="W9" i="5"/>
  <c r="W8" i="3"/>
  <c r="W7" i="5"/>
  <c r="AI10" i="5"/>
  <c r="AI9" i="5"/>
  <c r="W12" i="5"/>
  <c r="U5" i="5"/>
  <c r="X13" i="5"/>
  <c r="U5" i="3"/>
  <c r="Q6" i="3"/>
  <c r="AI9" i="3"/>
  <c r="AK9" i="5"/>
  <c r="AV38" i="2"/>
  <c r="T5" i="5"/>
  <c r="AI10" i="3"/>
  <c r="AI8" i="5"/>
  <c r="AK8" i="3"/>
  <c r="B5" i="5"/>
  <c r="Y7" i="5"/>
  <c r="W11" i="5"/>
  <c r="X8" i="3"/>
  <c r="S5" i="5"/>
  <c r="Z13" i="5"/>
  <c r="Z8" i="5"/>
  <c r="W13" i="5"/>
  <c r="Y9" i="5"/>
  <c r="Y8" i="5"/>
  <c r="Y12" i="5"/>
  <c r="X11" i="5"/>
  <c r="I6" i="2"/>
  <c r="T5" i="3"/>
  <c r="Z10" i="3"/>
  <c r="Z8" i="3"/>
  <c r="R5" i="3"/>
  <c r="AI7" i="5"/>
  <c r="X8" i="5"/>
  <c r="Z12" i="5"/>
  <c r="Y9" i="3"/>
  <c r="AK7" i="5"/>
  <c r="AI11" i="5"/>
  <c r="W9" i="3"/>
  <c r="AI12" i="5"/>
  <c r="S5" i="3"/>
  <c r="AU39" i="2"/>
  <c r="AI7" i="6"/>
  <c r="Q6" i="6"/>
  <c r="AI9" i="6"/>
  <c r="AR38" i="2"/>
  <c r="Z9" i="6"/>
  <c r="X6" i="6"/>
  <c r="B5" i="6"/>
  <c r="Z2" i="6"/>
  <c r="AP30" i="2"/>
  <c r="I36" i="2"/>
  <c r="AJ5" i="6"/>
  <c r="S5" i="6"/>
  <c r="Z8" i="6"/>
  <c r="Z5" i="6"/>
  <c r="AK9" i="6"/>
  <c r="R5" i="6"/>
  <c r="X7" i="6"/>
  <c r="AI8" i="6"/>
  <c r="AP29" i="2"/>
  <c r="W9" i="6"/>
  <c r="U5" i="6"/>
  <c r="Y7" i="6"/>
  <c r="W8" i="6"/>
  <c r="T5" i="6"/>
  <c r="I34" i="2"/>
  <c r="Y8" i="6"/>
  <c r="AK8" i="6"/>
  <c r="AQ60" i="2"/>
  <c r="Y9" i="6"/>
  <c r="Z7" i="6"/>
  <c r="X4" i="6"/>
  <c r="AK7" i="6"/>
  <c r="W3" i="6"/>
  <c r="AR39" i="2"/>
  <c r="AS59" i="2" l="1"/>
  <c r="AP33" i="2"/>
  <c r="I33" i="2"/>
  <c r="AP32" i="2" s="1"/>
  <c r="P6" i="6"/>
  <c r="AH6" i="6" s="1"/>
  <c r="P6" i="3"/>
  <c r="AH6" i="3" s="1"/>
  <c r="K7" i="2" s="1"/>
  <c r="AR60" i="2"/>
  <c r="AD9" i="6"/>
  <c r="AG9" i="6" s="1"/>
  <c r="AA9" i="6"/>
  <c r="AD7" i="6"/>
  <c r="AG7" i="6" s="1"/>
  <c r="AA7" i="6"/>
  <c r="AA8" i="6"/>
  <c r="AD8" i="6"/>
  <c r="AG8" i="6" s="1"/>
  <c r="C5" i="6"/>
  <c r="A6" i="6"/>
  <c r="AT40" i="2"/>
  <c r="AC5" i="6"/>
  <c r="AF5" i="6" s="1"/>
  <c r="AB5" i="6"/>
  <c r="AL5" i="6"/>
  <c r="R41" i="6"/>
  <c r="D4" i="6"/>
  <c r="AA8" i="5"/>
  <c r="AD11" i="5"/>
  <c r="AG11" i="5" s="1"/>
  <c r="AD9" i="5"/>
  <c r="AG9" i="5" s="1"/>
  <c r="AD12" i="5"/>
  <c r="AG12" i="5" s="1"/>
  <c r="AD7" i="5"/>
  <c r="AG7" i="5" s="1"/>
  <c r="AA7" i="5"/>
  <c r="AB5" i="5"/>
  <c r="AD13" i="5"/>
  <c r="AG13" i="5" s="1"/>
  <c r="AA10" i="5"/>
  <c r="AL5" i="5"/>
  <c r="AC5" i="5"/>
  <c r="AF5" i="5" s="1"/>
  <c r="AA13" i="5"/>
  <c r="AD8" i="5"/>
  <c r="AG8" i="5" s="1"/>
  <c r="AA11" i="5"/>
  <c r="AA9" i="5"/>
  <c r="A6" i="5"/>
  <c r="AW40" i="2"/>
  <c r="AA12" i="5"/>
  <c r="AD10" i="5"/>
  <c r="AG10" i="5" s="1"/>
  <c r="C5" i="5"/>
  <c r="D4" i="5"/>
  <c r="R41" i="5"/>
  <c r="AA9" i="3"/>
  <c r="AC5" i="3"/>
  <c r="AF5" i="3" s="1"/>
  <c r="C5" i="3"/>
  <c r="AL5" i="3"/>
  <c r="AA8" i="3"/>
  <c r="AD10" i="3"/>
  <c r="AG10" i="3" s="1"/>
  <c r="AD9" i="3"/>
  <c r="AG9" i="3" s="1"/>
  <c r="AD8" i="3"/>
  <c r="AG8" i="3" s="1"/>
  <c r="A6" i="3"/>
  <c r="AQ40" i="2"/>
  <c r="AA10" i="3"/>
  <c r="AB5" i="3"/>
  <c r="R41" i="3"/>
  <c r="D4" i="3"/>
  <c r="X6" i="5"/>
  <c r="Q7" i="3"/>
  <c r="W4" i="3"/>
  <c r="Y2" i="5"/>
  <c r="W6" i="5"/>
  <c r="Z4" i="5"/>
  <c r="AI2" i="5"/>
  <c r="AI5" i="5"/>
  <c r="S6" i="3"/>
  <c r="Y6" i="3"/>
  <c r="Z5" i="3"/>
  <c r="Z2" i="3"/>
  <c r="X4" i="3"/>
  <c r="AI7" i="3"/>
  <c r="AI4" i="5"/>
  <c r="T6" i="3"/>
  <c r="X2" i="3"/>
  <c r="Z6" i="3"/>
  <c r="X3" i="3"/>
  <c r="Z2" i="5"/>
  <c r="W3" i="5"/>
  <c r="K6" i="2"/>
  <c r="W6" i="3"/>
  <c r="W2" i="3"/>
  <c r="W7" i="3"/>
  <c r="AK6" i="5"/>
  <c r="W2" i="5"/>
  <c r="R6" i="3"/>
  <c r="Y7" i="3"/>
  <c r="Z3" i="3"/>
  <c r="AI3" i="5"/>
  <c r="AV39" i="2"/>
  <c r="Y4" i="5"/>
  <c r="Y6" i="5"/>
  <c r="Y3" i="5"/>
  <c r="U6" i="3"/>
  <c r="X7" i="3"/>
  <c r="X5" i="3"/>
  <c r="AK3" i="3"/>
  <c r="AI4" i="3"/>
  <c r="AK4" i="3"/>
  <c r="Z6" i="5"/>
  <c r="B6" i="5"/>
  <c r="AK3" i="5"/>
  <c r="Q7" i="5"/>
  <c r="Y4" i="3"/>
  <c r="W3" i="3"/>
  <c r="X3" i="5"/>
  <c r="X2" i="5"/>
  <c r="Z3" i="5"/>
  <c r="W5" i="3"/>
  <c r="AK5" i="3"/>
  <c r="Z4" i="3"/>
  <c r="AU40" i="2"/>
  <c r="R6" i="5"/>
  <c r="AK7" i="3"/>
  <c r="X6" i="3"/>
  <c r="AK5" i="5"/>
  <c r="AI6" i="5"/>
  <c r="W5" i="5"/>
  <c r="Y5" i="5"/>
  <c r="B6" i="3"/>
  <c r="Y3" i="3"/>
  <c r="Y5" i="3"/>
  <c r="AI6" i="3"/>
  <c r="AI5" i="3"/>
  <c r="X5" i="5"/>
  <c r="AK2" i="5"/>
  <c r="S6" i="5"/>
  <c r="Z5" i="5"/>
  <c r="U6" i="5"/>
  <c r="AJ6" i="3"/>
  <c r="AI3" i="3"/>
  <c r="Y2" i="3"/>
  <c r="AK6" i="3"/>
  <c r="AK4" i="5"/>
  <c r="X4" i="5"/>
  <c r="AP61" i="2"/>
  <c r="AI2" i="3"/>
  <c r="W4" i="5"/>
  <c r="AJ6" i="5"/>
  <c r="T6" i="5"/>
  <c r="Z7" i="3"/>
  <c r="AK2" i="3"/>
  <c r="Y4" i="6"/>
  <c r="Z3" i="6"/>
  <c r="W2" i="6"/>
  <c r="W5" i="6"/>
  <c r="X3" i="6"/>
  <c r="B6" i="6"/>
  <c r="AI3" i="6"/>
  <c r="T6" i="6"/>
  <c r="AQ29" i="2"/>
  <c r="Y3" i="6"/>
  <c r="S6" i="6"/>
  <c r="AI6" i="6"/>
  <c r="AK2" i="6"/>
  <c r="AQ61" i="2"/>
  <c r="AI4" i="6"/>
  <c r="Y6" i="6"/>
  <c r="AI5" i="6"/>
  <c r="W6" i="6"/>
  <c r="X2" i="6"/>
  <c r="AJ6" i="6"/>
  <c r="Y2" i="6"/>
  <c r="Q8" i="6"/>
  <c r="U6" i="6"/>
  <c r="AQ30" i="2"/>
  <c r="X5" i="6"/>
  <c r="R6" i="6"/>
  <c r="Y5" i="6"/>
  <c r="AK6" i="6"/>
  <c r="W4" i="6"/>
  <c r="AK3" i="6"/>
  <c r="Z4" i="6"/>
  <c r="AK4" i="6"/>
  <c r="Q7" i="6"/>
  <c r="AK5" i="6"/>
  <c r="K36" i="2"/>
  <c r="K34" i="2"/>
  <c r="AI2" i="6"/>
  <c r="Z6" i="6"/>
  <c r="AR40" i="2"/>
  <c r="K33" i="2" l="1"/>
  <c r="AQ32" i="2" s="1"/>
  <c r="AS60" i="2"/>
  <c r="AQ33" i="2"/>
  <c r="P7" i="6"/>
  <c r="AH7" i="6" s="1"/>
  <c r="P8" i="6"/>
  <c r="AH8" i="6" s="1"/>
  <c r="P7" i="3"/>
  <c r="AH7" i="3" s="1"/>
  <c r="M7" i="2" s="1"/>
  <c r="AR61" i="2"/>
  <c r="AA3" i="6"/>
  <c r="AD3" i="6"/>
  <c r="AG3" i="6" s="1"/>
  <c r="AD2" i="6"/>
  <c r="AG2" i="6" s="1"/>
  <c r="AA2" i="6"/>
  <c r="AA6" i="6"/>
  <c r="AD6" i="6"/>
  <c r="AG6" i="6" s="1"/>
  <c r="AD5" i="6"/>
  <c r="AG5" i="6" s="1"/>
  <c r="AA5" i="6"/>
  <c r="AD4" i="6"/>
  <c r="AG4" i="6" s="1"/>
  <c r="AA4" i="6"/>
  <c r="AT41" i="2"/>
  <c r="A7" i="6"/>
  <c r="AL6" i="6"/>
  <c r="AT42" i="2"/>
  <c r="A8" i="6"/>
  <c r="AB6" i="6"/>
  <c r="C6" i="6"/>
  <c r="AC6" i="6"/>
  <c r="AF6" i="6" s="1"/>
  <c r="R42" i="6"/>
  <c r="D5" i="6"/>
  <c r="AD2" i="5"/>
  <c r="AG2" i="5" s="1"/>
  <c r="AA6" i="5"/>
  <c r="AA3" i="5"/>
  <c r="AD5" i="5"/>
  <c r="AG5" i="5" s="1"/>
  <c r="AC6" i="5"/>
  <c r="AF6" i="5" s="1"/>
  <c r="AD4" i="5"/>
  <c r="AG4" i="5" s="1"/>
  <c r="AL6" i="5"/>
  <c r="AD3" i="5"/>
  <c r="AG3" i="5" s="1"/>
  <c r="A7" i="5"/>
  <c r="AW41" i="2"/>
  <c r="AA2" i="5"/>
  <c r="AA5" i="5"/>
  <c r="AD6" i="5"/>
  <c r="AG6" i="5" s="1"/>
  <c r="AA4" i="5"/>
  <c r="AB6" i="5"/>
  <c r="C6" i="5"/>
  <c r="D5" i="5"/>
  <c r="R42" i="5"/>
  <c r="AA2" i="3"/>
  <c r="AA5" i="3"/>
  <c r="C6" i="3"/>
  <c r="AL6" i="3"/>
  <c r="AC6" i="3"/>
  <c r="AF6" i="3" s="1"/>
  <c r="AA6" i="3"/>
  <c r="AD3" i="3"/>
  <c r="AG3" i="3" s="1"/>
  <c r="AA7" i="3"/>
  <c r="AD6" i="3"/>
  <c r="AG6" i="3" s="1"/>
  <c r="AD7" i="3"/>
  <c r="AG7" i="3" s="1"/>
  <c r="AD2" i="3"/>
  <c r="AG2" i="3" s="1"/>
  <c r="AD5" i="3"/>
  <c r="AG5" i="3" s="1"/>
  <c r="A7" i="3"/>
  <c r="AQ41" i="2"/>
  <c r="AA3" i="3"/>
  <c r="AA4" i="3"/>
  <c r="AD4" i="3"/>
  <c r="AG4" i="3" s="1"/>
  <c r="AB6" i="3"/>
  <c r="R42" i="3"/>
  <c r="D5" i="3"/>
  <c r="R7" i="5"/>
  <c r="AJ7" i="3"/>
  <c r="U7" i="5"/>
  <c r="Q8" i="3"/>
  <c r="AU41" i="2"/>
  <c r="R7" i="3"/>
  <c r="AJ7" i="5"/>
  <c r="AV40" i="2"/>
  <c r="AO40" i="2"/>
  <c r="S7" i="3"/>
  <c r="Q8" i="5"/>
  <c r="M6" i="2"/>
  <c r="AP62" i="2"/>
  <c r="S7" i="5"/>
  <c r="B7" i="5"/>
  <c r="U7" i="3"/>
  <c r="B7" i="3"/>
  <c r="T7" i="5"/>
  <c r="T7" i="3"/>
  <c r="AO41" i="2"/>
  <c r="M36" i="2"/>
  <c r="U8" i="6"/>
  <c r="R8" i="6"/>
  <c r="S8" i="6"/>
  <c r="R7" i="6"/>
  <c r="T8" i="6"/>
  <c r="M34" i="2"/>
  <c r="S7" i="6"/>
  <c r="B8" i="6"/>
  <c r="AJ7" i="6"/>
  <c r="AR29" i="2"/>
  <c r="T7" i="6"/>
  <c r="AJ8" i="6"/>
  <c r="AS30" i="2"/>
  <c r="AR41" i="2"/>
  <c r="B7" i="6"/>
  <c r="P34" i="2"/>
  <c r="AR30" i="2"/>
  <c r="U7" i="6"/>
  <c r="AS29" i="2"/>
  <c r="P36" i="2"/>
  <c r="AR42" i="2"/>
  <c r="AS61" i="2" l="1"/>
  <c r="M33" i="2"/>
  <c r="AR32" i="2" s="1"/>
  <c r="AR33" i="2"/>
  <c r="AS33" i="2"/>
  <c r="P8" i="3"/>
  <c r="AH8" i="3" s="1"/>
  <c r="P7" i="2" s="1"/>
  <c r="AC8" i="6"/>
  <c r="AF8" i="6" s="1"/>
  <c r="AB8" i="6"/>
  <c r="AL8" i="6"/>
  <c r="C8" i="6"/>
  <c r="AB7" i="6"/>
  <c r="AL7" i="6"/>
  <c r="C7" i="6"/>
  <c r="AC7" i="6"/>
  <c r="AF7" i="6" s="1"/>
  <c r="R43" i="6"/>
  <c r="D6" i="6"/>
  <c r="AB7" i="5"/>
  <c r="C7" i="5"/>
  <c r="AL7" i="5"/>
  <c r="AC7" i="5"/>
  <c r="AF7" i="5" s="1"/>
  <c r="A8" i="5"/>
  <c r="AW42" i="2"/>
  <c r="R43" i="5"/>
  <c r="D6" i="5"/>
  <c r="AC7" i="3"/>
  <c r="AF7" i="3" s="1"/>
  <c r="A8" i="3"/>
  <c r="AQ42" i="2"/>
  <c r="AB7" i="3"/>
  <c r="C7" i="3"/>
  <c r="AL7" i="3"/>
  <c r="D6" i="3"/>
  <c r="R43" i="3"/>
  <c r="U8" i="5"/>
  <c r="S8" i="3"/>
  <c r="AV41" i="2"/>
  <c r="B8" i="3"/>
  <c r="R8" i="5"/>
  <c r="U8" i="3"/>
  <c r="P6" i="2"/>
  <c r="AJ8" i="3"/>
  <c r="AJ8" i="5"/>
  <c r="AP63" i="2"/>
  <c r="O6" i="2"/>
  <c r="Q9" i="5"/>
  <c r="T8" i="3"/>
  <c r="S8" i="5"/>
  <c r="R8" i="3"/>
  <c r="Q9" i="3"/>
  <c r="T8" i="5"/>
  <c r="AO42" i="2"/>
  <c r="AU42" i="2"/>
  <c r="B8" i="5"/>
  <c r="Q9" i="6"/>
  <c r="AQ63" i="2"/>
  <c r="AQ62" i="2"/>
  <c r="P33" i="2" l="1"/>
  <c r="AS32" i="2" s="1"/>
  <c r="P9" i="6"/>
  <c r="AH9" i="6" s="1"/>
  <c r="P9" i="3"/>
  <c r="AH9" i="3" s="1"/>
  <c r="R7" i="2" s="1"/>
  <c r="AR62" i="2"/>
  <c r="AS62" i="2" s="1"/>
  <c r="AR63" i="2"/>
  <c r="AS63" i="2" s="1"/>
  <c r="A9" i="6"/>
  <c r="AT43" i="2"/>
  <c r="A10" i="6"/>
  <c r="AT44" i="2"/>
  <c r="D7" i="6"/>
  <c r="R44" i="6"/>
  <c r="D8" i="6"/>
  <c r="C8" i="5"/>
  <c r="A9" i="5"/>
  <c r="AW43" i="2"/>
  <c r="AB8" i="5"/>
  <c r="AL8" i="5"/>
  <c r="AC8" i="5"/>
  <c r="AF8" i="5" s="1"/>
  <c r="D7" i="5"/>
  <c r="R44" i="5"/>
  <c r="AL8" i="3"/>
  <c r="AB8" i="3"/>
  <c r="AC8" i="3"/>
  <c r="AF8" i="3" s="1"/>
  <c r="A9" i="3"/>
  <c r="AQ43" i="2"/>
  <c r="C8" i="3"/>
  <c r="D7" i="3"/>
  <c r="R44" i="3"/>
  <c r="AJ9" i="5"/>
  <c r="AJ9" i="3"/>
  <c r="U9" i="5"/>
  <c r="O10" i="2"/>
  <c r="T9" i="3"/>
  <c r="AU43" i="2"/>
  <c r="O8" i="2"/>
  <c r="AO43" i="2"/>
  <c r="S9" i="5"/>
  <c r="Q10" i="5"/>
  <c r="R6" i="2"/>
  <c r="B9" i="5"/>
  <c r="R9" i="5"/>
  <c r="S9" i="3"/>
  <c r="R9" i="3"/>
  <c r="Q10" i="3"/>
  <c r="AV42" i="2"/>
  <c r="U9" i="3"/>
  <c r="O7" i="2"/>
  <c r="T9" i="5"/>
  <c r="O11" i="2"/>
  <c r="B9" i="3"/>
  <c r="R9" i="6"/>
  <c r="T9" i="6"/>
  <c r="R36" i="2"/>
  <c r="B10" i="6"/>
  <c r="R34" i="2"/>
  <c r="AT29" i="2"/>
  <c r="U9" i="6"/>
  <c r="S9" i="6"/>
  <c r="AR43" i="2"/>
  <c r="B9" i="6"/>
  <c r="AJ9" i="6"/>
  <c r="AT30" i="2"/>
  <c r="AR44" i="2"/>
  <c r="R33" i="2" l="1"/>
  <c r="AT32" i="2" s="1"/>
  <c r="AT33" i="2"/>
  <c r="P10" i="3"/>
  <c r="AH10" i="3" s="1"/>
  <c r="T7" i="2" s="1"/>
  <c r="AB9" i="6"/>
  <c r="AC9" i="6"/>
  <c r="AF9" i="6" s="1"/>
  <c r="AL9" i="6"/>
  <c r="C10" i="6"/>
  <c r="C9" i="6"/>
  <c r="R45" i="6"/>
  <c r="AL9" i="5"/>
  <c r="A10" i="5"/>
  <c r="AW44" i="2"/>
  <c r="C9" i="5"/>
  <c r="AC9" i="5"/>
  <c r="AF9" i="5" s="1"/>
  <c r="AB9" i="5"/>
  <c r="R45" i="5"/>
  <c r="D8" i="5"/>
  <c r="AB9" i="3"/>
  <c r="C9" i="3"/>
  <c r="AC9" i="3"/>
  <c r="AF9" i="3" s="1"/>
  <c r="AL9" i="3"/>
  <c r="A10" i="3"/>
  <c r="AQ44" i="2"/>
  <c r="D8" i="3"/>
  <c r="R45" i="3"/>
  <c r="AJ10" i="5"/>
  <c r="AJ10" i="3"/>
  <c r="AV43" i="2"/>
  <c r="T10" i="3"/>
  <c r="U10" i="5"/>
  <c r="U10" i="3"/>
  <c r="Q11" i="5"/>
  <c r="S10" i="5"/>
  <c r="T10" i="5"/>
  <c r="T6" i="2"/>
  <c r="AP64" i="2"/>
  <c r="R10" i="5"/>
  <c r="R10" i="3"/>
  <c r="S10" i="3"/>
  <c r="AO44" i="2"/>
  <c r="B10" i="5"/>
  <c r="B10" i="3"/>
  <c r="AP65" i="2"/>
  <c r="AU44" i="2"/>
  <c r="AQ64" i="2"/>
  <c r="AQ65" i="2"/>
  <c r="AR65" i="2" l="1"/>
  <c r="AR64" i="2"/>
  <c r="AS64" i="2" s="1"/>
  <c r="A11" i="6"/>
  <c r="R46" i="6"/>
  <c r="D9" i="6"/>
  <c r="D10" i="6"/>
  <c r="A11" i="5"/>
  <c r="AW45" i="2"/>
  <c r="C10" i="5"/>
  <c r="AB10" i="5"/>
  <c r="AL10" i="5"/>
  <c r="AC10" i="5"/>
  <c r="AF10" i="5" s="1"/>
  <c r="R46" i="5"/>
  <c r="D9" i="5"/>
  <c r="AC10" i="3"/>
  <c r="AF10" i="3" s="1"/>
  <c r="C10" i="3"/>
  <c r="AB10" i="3"/>
  <c r="AL10" i="3"/>
  <c r="R46" i="3"/>
  <c r="D9" i="3"/>
  <c r="AV44" i="2"/>
  <c r="AJ11" i="5"/>
  <c r="Q12" i="5"/>
  <c r="U11" i="5"/>
  <c r="S11" i="5"/>
  <c r="Q13" i="5"/>
  <c r="T11" i="5"/>
  <c r="R11" i="5"/>
  <c r="AU45" i="2"/>
  <c r="B11" i="5"/>
  <c r="B11" i="6"/>
  <c r="A13" i="6" l="1"/>
  <c r="A12" i="6"/>
  <c r="C11" i="6"/>
  <c r="C11" i="5"/>
  <c r="AC11" i="5"/>
  <c r="AF11" i="5" s="1"/>
  <c r="A12" i="5"/>
  <c r="AW46" i="2"/>
  <c r="AB11" i="5"/>
  <c r="A13" i="5"/>
  <c r="AW47" i="2"/>
  <c r="AL11" i="5"/>
  <c r="D10" i="5"/>
  <c r="D10" i="3"/>
  <c r="U12" i="5"/>
  <c r="AJ12" i="5"/>
  <c r="S13" i="5"/>
  <c r="T13" i="5"/>
  <c r="AU46" i="2"/>
  <c r="S12" i="5"/>
  <c r="B13" i="5"/>
  <c r="U13" i="5"/>
  <c r="AV45" i="2"/>
  <c r="AU47" i="2"/>
  <c r="AJ13" i="5"/>
  <c r="R13" i="5"/>
  <c r="T12" i="5"/>
  <c r="R12" i="5"/>
  <c r="B12" i="5"/>
  <c r="B13" i="6"/>
  <c r="B12" i="6"/>
  <c r="C12" i="6" l="1"/>
  <c r="C13" i="6"/>
  <c r="D11" i="6"/>
  <c r="C13" i="5"/>
  <c r="AC12" i="5"/>
  <c r="AF12" i="5" s="1"/>
  <c r="AB13" i="5"/>
  <c r="C12" i="5"/>
  <c r="AC13" i="5"/>
  <c r="AF13" i="5" s="1"/>
  <c r="AL13" i="5"/>
  <c r="AB12" i="5"/>
  <c r="AL12" i="5"/>
  <c r="D11" i="5"/>
  <c r="AV46" i="2"/>
  <c r="AV47" i="2"/>
  <c r="D13" i="6" l="1"/>
  <c r="D12" i="6"/>
  <c r="D12" i="5"/>
  <c r="D13" i="5"/>
</calcChain>
</file>

<file path=xl/sharedStrings.xml><?xml version="1.0" encoding="utf-8"?>
<sst xmlns="http://schemas.openxmlformats.org/spreadsheetml/2006/main" count="57" uniqueCount="23">
  <si>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</si>
  <si>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</si>
  <si>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</si>
  <si>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</si>
  <si>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</si>
  <si>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</si>
  <si>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</si>
  <si>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</si>
  <si>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 xml:space="preserve">CHICAGO: </t>
  </si>
  <si>
    <t>NEW YORK:</t>
  </si>
  <si>
    <t>#</t>
  </si>
  <si>
    <t>#.0</t>
  </si>
  <si>
    <t>#.00</t>
  </si>
  <si>
    <t>#.000</t>
  </si>
  <si>
    <t>F.GLE</t>
  </si>
  <si>
    <t>F.GF</t>
  </si>
  <si>
    <t>F.HE</t>
  </si>
  <si>
    <t>LONDON:</t>
  </si>
  <si>
    <t>TOKYO</t>
  </si>
  <si>
    <t>GLE</t>
  </si>
  <si>
    <t>GF</t>
  </si>
  <si>
    <t>Red Line is Settlement</t>
  </si>
  <si>
    <t xml:space="preserve">  Copyright ©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</si>
</sst>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.000"/>
  </numFmts>
  <fonts count="2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20"/>
      <color theme="0"/>
      <name val="Tahoma"/>
      <family val="2"/>
    </font>
    <font>
      <b/>
      <sz val="9.5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8"/>
      <color theme="1"/>
      <name val="Tahoma"/>
      <family val="2"/>
    </font>
    <font>
      <b/>
      <sz val="8.5"/>
      <color theme="0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Tahoma"/>
      <family val="2"/>
    </font>
    <font>
      <b/>
      <sz val="14"/>
      <color theme="1"/>
      <name val="Arial"/>
      <family val="2"/>
    </font>
    <font>
      <b/>
      <sz val="13"/>
      <color theme="1"/>
      <name val="Century Gothic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3" tint="0.59999389629810485"/>
        </stop>
        <stop position="1">
          <color theme="0"/>
        </stop>
      </gradientFill>
    </fill>
    <fill>
      <gradientFill degree="270">
        <stop position="0">
          <color theme="4" tint="0.59999389629810485"/>
        </stop>
        <stop position="1">
          <color theme="0"/>
        </stop>
      </gradientFill>
    </fill>
    <fill>
      <gradientFill degree="270">
        <stop position="0">
          <color theme="3" tint="0.59999389629810485"/>
        </stop>
        <stop position="1">
          <color theme="0"/>
        </stop>
      </gradientFill>
    </fill>
  </fills>
  <borders count="60">
    <border>
      <left/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theme="4"/>
      </left>
      <right style="medium">
        <color theme="4"/>
      </right>
      <top style="medium">
        <color rgb="FF00B050"/>
      </top>
      <bottom style="medium">
        <color rgb="FF00B050"/>
      </bottom>
      <diagonal/>
    </border>
    <border>
      <left style="medium">
        <color theme="4"/>
      </left>
      <right style="medium">
        <color theme="4"/>
      </right>
      <top style="medium">
        <color rgb="FFC00000"/>
      </top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theme="4"/>
      </right>
      <top style="medium">
        <color rgb="FF00B050"/>
      </top>
      <bottom style="medium">
        <color rgb="FF00B050"/>
      </bottom>
      <diagonal/>
    </border>
    <border>
      <left/>
      <right style="medium">
        <color theme="4"/>
      </right>
      <top style="medium">
        <color rgb="FFC00000"/>
      </top>
      <bottom style="medium">
        <color rgb="FFC00000"/>
      </bottom>
      <diagonal/>
    </border>
    <border>
      <left style="medium">
        <color theme="4"/>
      </left>
      <right/>
      <top style="medium">
        <color rgb="FF00B050"/>
      </top>
      <bottom style="medium">
        <color rgb="FF00B050"/>
      </bottom>
      <diagonal/>
    </border>
    <border>
      <left style="medium">
        <color theme="4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theme="4"/>
      </right>
      <top style="thin">
        <color theme="4"/>
      </top>
      <bottom style="medium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rgb="FF00B050"/>
      </bottom>
      <diagonal/>
    </border>
    <border>
      <left style="medium">
        <color rgb="FFC00000"/>
      </left>
      <right/>
      <top style="medium">
        <color rgb="FF00B050"/>
      </top>
      <bottom style="medium">
        <color rgb="FF00B05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rgb="FFC00000"/>
      </right>
      <top/>
      <bottom style="thin">
        <color theme="4"/>
      </bottom>
      <diagonal/>
    </border>
    <border>
      <left style="thin">
        <color theme="4"/>
      </left>
      <right style="medium">
        <color rgb="FFC00000"/>
      </right>
      <top style="thin">
        <color theme="4"/>
      </top>
      <bottom/>
      <diagonal/>
    </border>
    <border>
      <left/>
      <right style="medium">
        <color rgb="FFC00000"/>
      </right>
      <top style="medium">
        <color rgb="FF00B050"/>
      </top>
      <bottom style="medium">
        <color rgb="FF00B050"/>
      </bottom>
      <diagonal/>
    </border>
    <border>
      <left/>
      <right style="medium">
        <color rgb="FFC00000"/>
      </right>
      <top/>
      <bottom/>
      <diagonal/>
    </border>
    <border>
      <left style="medium">
        <color theme="4"/>
      </left>
      <right style="medium">
        <color rgb="FFC00000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rgb="FF00B050"/>
      </bottom>
      <diagonal/>
    </border>
    <border>
      <left style="thin">
        <color theme="4"/>
      </left>
      <right style="medium">
        <color rgb="FFC00000"/>
      </right>
      <top style="thin">
        <color theme="4"/>
      </top>
      <bottom style="medium">
        <color rgb="FF00B050"/>
      </bottom>
      <diagonal/>
    </border>
    <border>
      <left/>
      <right style="thin">
        <color theme="4"/>
      </right>
      <top style="thin">
        <color theme="4"/>
      </top>
      <bottom style="medium">
        <color rgb="FF00B050"/>
      </bottom>
      <diagonal/>
    </border>
    <border>
      <left style="thin">
        <color theme="4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theme="4"/>
      </right>
      <top style="medium">
        <color rgb="FF00B050"/>
      </top>
      <bottom style="medium">
        <color rgb="FF00B050"/>
      </bottom>
      <diagonal/>
    </border>
    <border>
      <left/>
      <right style="thin">
        <color theme="4"/>
      </right>
      <top style="medium">
        <color rgb="FFC00000"/>
      </top>
      <bottom style="medium">
        <color rgb="FFC00000"/>
      </bottom>
      <diagonal/>
    </border>
    <border>
      <left style="thin">
        <color theme="4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C00000"/>
      </top>
      <bottom style="thin">
        <color theme="4"/>
      </bottom>
      <diagonal/>
    </border>
    <border>
      <left/>
      <right style="medium">
        <color rgb="FFC00000"/>
      </right>
      <top style="medium">
        <color rgb="FFC00000"/>
      </top>
      <bottom style="thin">
        <color theme="4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theme="4"/>
      </right>
      <top/>
      <bottom style="medium">
        <color rgb="FF00B050"/>
      </bottom>
      <diagonal/>
    </border>
    <border>
      <left style="medium">
        <color theme="4"/>
      </left>
      <right/>
      <top/>
      <bottom style="medium">
        <color rgb="FF00B050"/>
      </bottom>
      <diagonal/>
    </border>
    <border>
      <left/>
      <right style="medium">
        <color rgb="FFC00000"/>
      </right>
      <top/>
      <bottom style="medium">
        <color rgb="FF00B050"/>
      </bottom>
      <diagonal/>
    </border>
    <border>
      <left style="medium">
        <color rgb="FF006400"/>
      </left>
      <right/>
      <top style="medium">
        <color rgb="FF006400"/>
      </top>
      <bottom style="medium">
        <color rgb="FF006400"/>
      </bottom>
      <diagonal/>
    </border>
    <border>
      <left/>
      <right style="medium">
        <color theme="4"/>
      </right>
      <top style="medium">
        <color rgb="FF006400"/>
      </top>
      <bottom style="medium">
        <color rgb="FF006400"/>
      </bottom>
      <diagonal/>
    </border>
    <border>
      <left style="medium">
        <color theme="4"/>
      </left>
      <right/>
      <top style="medium">
        <color rgb="FF006400"/>
      </top>
      <bottom style="medium">
        <color rgb="FF006400"/>
      </bottom>
      <diagonal/>
    </border>
    <border>
      <left/>
      <right style="medium">
        <color rgb="FF006400"/>
      </right>
      <top style="medium">
        <color rgb="FF006400"/>
      </top>
      <bottom style="medium">
        <color rgb="FF006400"/>
      </bottom>
      <diagonal/>
    </border>
    <border>
      <left style="thin">
        <color theme="4"/>
      </left>
      <right/>
      <top style="medium">
        <color rgb="FFC00000"/>
      </top>
      <bottom style="thin">
        <color theme="4"/>
      </bottom>
      <diagonal/>
    </border>
    <border>
      <left/>
      <right style="thin">
        <color theme="4"/>
      </right>
      <top style="medium">
        <color rgb="FFC00000"/>
      </top>
      <bottom style="thin">
        <color theme="4"/>
      </bottom>
      <diagonal/>
    </border>
    <border>
      <left/>
      <right style="medium">
        <color rgb="FF006400"/>
      </right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4" fillId="5" borderId="0" xfId="0" applyFont="1" applyFill="1"/>
    <xf numFmtId="2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2" fontId="4" fillId="5" borderId="0" xfId="0" applyNumberFormat="1" applyFont="1" applyFill="1"/>
    <xf numFmtId="2" fontId="0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right"/>
    </xf>
    <xf numFmtId="2" fontId="0" fillId="5" borderId="0" xfId="0" applyNumberFormat="1" applyFont="1" applyFill="1"/>
    <xf numFmtId="0" fontId="0" fillId="5" borderId="0" xfId="0" applyFont="1" applyFill="1" applyAlignment="1">
      <alignment horizontal="right"/>
    </xf>
    <xf numFmtId="0" fontId="2" fillId="3" borderId="0" xfId="0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Alignment="1">
      <alignment horizontal="center" shrinkToFit="1"/>
    </xf>
    <xf numFmtId="2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/>
    </xf>
    <xf numFmtId="0" fontId="12" fillId="7" borderId="8" xfId="1" applyFont="1" applyFill="1" applyBorder="1" applyAlignment="1">
      <alignment horizontal="right" vertical="center"/>
    </xf>
    <xf numFmtId="0" fontId="12" fillId="7" borderId="8" xfId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/>
    </xf>
    <xf numFmtId="2" fontId="12" fillId="7" borderId="8" xfId="0" applyNumberFormat="1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left"/>
    </xf>
    <xf numFmtId="0" fontId="10" fillId="7" borderId="8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/>
    <xf numFmtId="0" fontId="10" fillId="8" borderId="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6" borderId="17" xfId="0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horizontal="center" shrinkToFit="1"/>
    </xf>
    <xf numFmtId="0" fontId="2" fillId="4" borderId="1" xfId="0" applyFont="1" applyFill="1" applyBorder="1" applyAlignment="1">
      <alignment horizontal="center" shrinkToFit="1"/>
    </xf>
    <xf numFmtId="1" fontId="12" fillId="3" borderId="0" xfId="0" applyNumberFormat="1" applyFont="1" applyFill="1" applyBorder="1" applyAlignment="1">
      <alignment horizontal="center" shrinkToFit="1"/>
    </xf>
    <xf numFmtId="2" fontId="12" fillId="3" borderId="0" xfId="0" applyNumberFormat="1" applyFont="1" applyFill="1" applyBorder="1" applyAlignment="1">
      <alignment horizontal="center" shrinkToFit="1"/>
    </xf>
    <xf numFmtId="2" fontId="12" fillId="3" borderId="10" xfId="0" applyNumberFormat="1" applyFont="1" applyFill="1" applyBorder="1" applyAlignment="1">
      <alignment horizontal="center" shrinkToFit="1"/>
    </xf>
    <xf numFmtId="1" fontId="12" fillId="3" borderId="13" xfId="0" applyNumberFormat="1" applyFont="1" applyFill="1" applyBorder="1" applyAlignment="1">
      <alignment horizontal="center" shrinkToFit="1"/>
    </xf>
    <xf numFmtId="0" fontId="2" fillId="2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shrinkToFit="1"/>
    </xf>
    <xf numFmtId="0" fontId="2" fillId="2" borderId="0" xfId="0" applyFont="1" applyFill="1" applyBorder="1"/>
    <xf numFmtId="0" fontId="7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1" fontId="12" fillId="3" borderId="33" xfId="0" applyNumberFormat="1" applyFont="1" applyFill="1" applyBorder="1" applyAlignment="1">
      <alignment horizontal="center" shrinkToFit="1"/>
    </xf>
    <xf numFmtId="2" fontId="12" fillId="3" borderId="38" xfId="0" applyNumberFormat="1" applyFont="1" applyFill="1" applyBorder="1" applyAlignment="1">
      <alignment horizontal="center" shrinkToFit="1"/>
    </xf>
    <xf numFmtId="0" fontId="2" fillId="2" borderId="16" xfId="0" applyFont="1" applyFill="1" applyBorder="1"/>
    <xf numFmtId="2" fontId="2" fillId="3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2" fontId="13" fillId="2" borderId="0" xfId="0" applyNumberFormat="1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center" vertical="center" shrinkToFit="1"/>
    </xf>
    <xf numFmtId="164" fontId="12" fillId="7" borderId="8" xfId="0" applyNumberFormat="1" applyFont="1" applyFill="1" applyBorder="1" applyAlignment="1"/>
    <xf numFmtId="0" fontId="6" fillId="9" borderId="4" xfId="0" applyFont="1" applyFill="1" applyBorder="1" applyAlignment="1">
      <alignment horizontal="center" shrinkToFit="1"/>
    </xf>
    <xf numFmtId="0" fontId="6" fillId="9" borderId="2" xfId="0" applyFont="1" applyFill="1" applyBorder="1" applyAlignment="1">
      <alignment horizontal="center" shrinkToFit="1"/>
    </xf>
    <xf numFmtId="2" fontId="2" fillId="9" borderId="40" xfId="0" applyNumberFormat="1" applyFont="1" applyFill="1" applyBorder="1" applyAlignment="1">
      <alignment horizontal="center"/>
    </xf>
    <xf numFmtId="0" fontId="2" fillId="9" borderId="40" xfId="0" applyFont="1" applyFill="1" applyBorder="1" applyAlignment="1">
      <alignment horizontal="center" shrinkToFit="1"/>
    </xf>
    <xf numFmtId="2" fontId="18" fillId="10" borderId="6" xfId="0" applyNumberFormat="1" applyFont="1" applyFill="1" applyBorder="1" applyAlignment="1">
      <alignment horizontal="center" vertical="center" shrinkToFit="1"/>
    </xf>
    <xf numFmtId="1" fontId="19" fillId="3" borderId="32" xfId="0" applyNumberFormat="1" applyFont="1" applyFill="1" applyBorder="1" applyAlignment="1">
      <alignment horizontal="center" shrinkToFit="1"/>
    </xf>
    <xf numFmtId="2" fontId="19" fillId="3" borderId="25" xfId="0" applyNumberFormat="1" applyFont="1" applyFill="1" applyBorder="1" applyAlignment="1">
      <alignment horizontal="center" shrinkToFit="1"/>
    </xf>
    <xf numFmtId="2" fontId="19" fillId="3" borderId="22" xfId="0" applyNumberFormat="1" applyFont="1" applyFill="1" applyBorder="1" applyAlignment="1">
      <alignment horizontal="center" shrinkToFit="1"/>
    </xf>
    <xf numFmtId="1" fontId="19" fillId="3" borderId="27" xfId="0" applyNumberFormat="1" applyFont="1" applyFill="1" applyBorder="1" applyAlignment="1">
      <alignment horizontal="center" shrinkToFit="1"/>
    </xf>
    <xf numFmtId="2" fontId="19" fillId="3" borderId="37" xfId="0" applyNumberFormat="1" applyFont="1" applyFill="1" applyBorder="1" applyAlignment="1">
      <alignment horizontal="center" shrinkToFit="1"/>
    </xf>
    <xf numFmtId="1" fontId="19" fillId="3" borderId="33" xfId="0" applyNumberFormat="1" applyFont="1" applyFill="1" applyBorder="1" applyAlignment="1">
      <alignment horizontal="center" shrinkToFit="1"/>
    </xf>
    <xf numFmtId="2" fontId="19" fillId="3" borderId="10" xfId="0" applyNumberFormat="1" applyFont="1" applyFill="1" applyBorder="1" applyAlignment="1">
      <alignment horizontal="center" shrinkToFit="1"/>
    </xf>
    <xf numFmtId="2" fontId="19" fillId="3" borderId="5" xfId="0" applyNumberFormat="1" applyFont="1" applyFill="1" applyBorder="1" applyAlignment="1">
      <alignment horizontal="center" shrinkToFit="1"/>
    </xf>
    <xf numFmtId="1" fontId="19" fillId="3" borderId="13" xfId="0" applyNumberFormat="1" applyFont="1" applyFill="1" applyBorder="1" applyAlignment="1">
      <alignment horizontal="center" shrinkToFit="1"/>
    </xf>
    <xf numFmtId="2" fontId="19" fillId="3" borderId="38" xfId="0" applyNumberFormat="1" applyFont="1" applyFill="1" applyBorder="1" applyAlignment="1">
      <alignment horizontal="center" shrinkToFit="1"/>
    </xf>
    <xf numFmtId="1" fontId="19" fillId="3" borderId="15" xfId="0" applyNumberFormat="1" applyFont="1" applyFill="1" applyBorder="1" applyAlignment="1">
      <alignment horizontal="center" shrinkToFit="1"/>
    </xf>
    <xf numFmtId="2" fontId="19" fillId="3" borderId="26" xfId="0" applyNumberFormat="1" applyFont="1" applyFill="1" applyBorder="1" applyAlignment="1">
      <alignment horizontal="center" shrinkToFit="1"/>
    </xf>
    <xf numFmtId="2" fontId="19" fillId="3" borderId="23" xfId="0" applyNumberFormat="1" applyFont="1" applyFill="1" applyBorder="1" applyAlignment="1">
      <alignment horizontal="center" shrinkToFit="1"/>
    </xf>
    <xf numFmtId="1" fontId="19" fillId="3" borderId="28" xfId="0" applyNumberFormat="1" applyFont="1" applyFill="1" applyBorder="1" applyAlignment="1">
      <alignment horizontal="center" shrinkToFit="1"/>
    </xf>
    <xf numFmtId="2" fontId="19" fillId="3" borderId="29" xfId="0" applyNumberFormat="1" applyFont="1" applyFill="1" applyBorder="1" applyAlignment="1">
      <alignment horizontal="center" shrinkToFit="1"/>
    </xf>
    <xf numFmtId="2" fontId="19" fillId="3" borderId="44" xfId="0" applyNumberFormat="1" applyFont="1" applyFill="1" applyBorder="1" applyAlignment="1">
      <alignment horizontal="center" shrinkToFit="1"/>
    </xf>
    <xf numFmtId="2" fontId="19" fillId="2" borderId="44" xfId="0" applyNumberFormat="1" applyFont="1" applyFill="1" applyBorder="1" applyAlignment="1">
      <alignment horizontal="center" shrinkToFit="1"/>
    </xf>
    <xf numFmtId="1" fontId="19" fillId="3" borderId="0" xfId="0" applyNumberFormat="1" applyFont="1" applyFill="1" applyBorder="1" applyAlignment="1">
      <alignment shrinkToFit="1"/>
    </xf>
    <xf numFmtId="165" fontId="19" fillId="3" borderId="10" xfId="0" applyNumberFormat="1" applyFont="1" applyFill="1" applyBorder="1" applyAlignment="1">
      <alignment horizontal="right" shrinkToFit="1"/>
    </xf>
    <xf numFmtId="2" fontId="19" fillId="3" borderId="14" xfId="0" applyNumberFormat="1" applyFont="1" applyFill="1" applyBorder="1" applyAlignment="1">
      <alignment horizontal="center" shrinkToFit="1"/>
    </xf>
    <xf numFmtId="1" fontId="19" fillId="3" borderId="9" xfId="0" applyNumberFormat="1" applyFont="1" applyFill="1" applyBorder="1" applyAlignment="1">
      <alignment shrinkToFit="1"/>
    </xf>
    <xf numFmtId="2" fontId="19" fillId="2" borderId="14" xfId="0" applyNumberFormat="1" applyFont="1" applyFill="1" applyBorder="1" applyAlignment="1">
      <alignment horizontal="center" shrinkToFit="1"/>
    </xf>
    <xf numFmtId="2" fontId="19" fillId="3" borderId="45" xfId="0" applyNumberFormat="1" applyFont="1" applyFill="1" applyBorder="1" applyAlignment="1">
      <alignment horizontal="center" shrinkToFit="1"/>
    </xf>
    <xf numFmtId="2" fontId="19" fillId="2" borderId="45" xfId="0" applyNumberFormat="1" applyFont="1" applyFill="1" applyBorder="1" applyAlignment="1">
      <alignment horizontal="center" shrinkToFit="1"/>
    </xf>
    <xf numFmtId="1" fontId="19" fillId="3" borderId="53" xfId="0" applyNumberFormat="1" applyFont="1" applyFill="1" applyBorder="1" applyAlignment="1">
      <alignment horizontal="center" shrinkToFit="1"/>
    </xf>
    <xf numFmtId="2" fontId="19" fillId="3" borderId="54" xfId="0" applyNumberFormat="1" applyFont="1" applyFill="1" applyBorder="1" applyAlignment="1">
      <alignment horizontal="center" shrinkToFit="1"/>
    </xf>
    <xf numFmtId="1" fontId="19" fillId="3" borderId="55" xfId="0" applyNumberFormat="1" applyFont="1" applyFill="1" applyBorder="1" applyAlignment="1">
      <alignment horizontal="center" shrinkToFit="1"/>
    </xf>
    <xf numFmtId="2" fontId="19" fillId="3" borderId="56" xfId="0" applyNumberFormat="1" applyFont="1" applyFill="1" applyBorder="1" applyAlignment="1">
      <alignment horizontal="center" shrinkToFit="1"/>
    </xf>
    <xf numFmtId="1" fontId="19" fillId="3" borderId="49" xfId="0" applyNumberFormat="1" applyFont="1" applyFill="1" applyBorder="1" applyAlignment="1">
      <alignment horizontal="center" shrinkToFit="1"/>
    </xf>
    <xf numFmtId="2" fontId="19" fillId="3" borderId="50" xfId="0" applyNumberFormat="1" applyFont="1" applyFill="1" applyBorder="1" applyAlignment="1">
      <alignment horizontal="center" shrinkToFit="1"/>
    </xf>
    <xf numFmtId="1" fontId="19" fillId="3" borderId="51" xfId="0" applyNumberFormat="1" applyFont="1" applyFill="1" applyBorder="1" applyAlignment="1">
      <alignment horizontal="center" shrinkToFit="1"/>
    </xf>
    <xf numFmtId="2" fontId="19" fillId="3" borderId="52" xfId="0" applyNumberFormat="1" applyFont="1" applyFill="1" applyBorder="1" applyAlignment="1">
      <alignment horizontal="center" shrinkToFit="1"/>
    </xf>
    <xf numFmtId="0" fontId="2" fillId="5" borderId="0" xfId="0" applyFont="1" applyFill="1"/>
    <xf numFmtId="0" fontId="14" fillId="5" borderId="0" xfId="0" applyFont="1" applyFill="1"/>
    <xf numFmtId="0" fontId="12" fillId="5" borderId="0" xfId="0" applyFont="1" applyFill="1"/>
    <xf numFmtId="0" fontId="13" fillId="5" borderId="0" xfId="0" applyFont="1" applyFill="1" applyAlignment="1">
      <alignment horizontal="center"/>
    </xf>
    <xf numFmtId="0" fontId="14" fillId="2" borderId="0" xfId="0" applyFont="1" applyFill="1"/>
    <xf numFmtId="0" fontId="14" fillId="5" borderId="0" xfId="0" applyFont="1" applyFill="1" applyAlignment="1">
      <alignment horizontal="center"/>
    </xf>
    <xf numFmtId="0" fontId="14" fillId="2" borderId="0" xfId="1" applyFont="1" applyFill="1" applyBorder="1" applyAlignment="1">
      <alignment horizontal="center" vertical="center"/>
    </xf>
    <xf numFmtId="0" fontId="20" fillId="2" borderId="0" xfId="0" applyFont="1" applyFill="1"/>
    <xf numFmtId="0" fontId="14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4" fillId="2" borderId="0" xfId="0" quotePrefix="1" applyFont="1" applyFill="1"/>
    <xf numFmtId="0" fontId="14" fillId="2" borderId="0" xfId="0" applyFont="1" applyFill="1" applyBorder="1" applyAlignment="1" applyProtection="1">
      <alignment vertical="center" shrinkToFit="1"/>
    </xf>
    <xf numFmtId="165" fontId="14" fillId="2" borderId="0" xfId="0" applyNumberFormat="1" applyFont="1" applyFill="1" applyBorder="1" applyAlignment="1" applyProtection="1">
      <alignment vertical="center" shrinkToFit="1"/>
    </xf>
    <xf numFmtId="0" fontId="14" fillId="2" borderId="0" xfId="0" applyFont="1" applyFill="1" applyBorder="1"/>
    <xf numFmtId="1" fontId="14" fillId="2" borderId="0" xfId="0" applyNumberFormat="1" applyFont="1" applyFill="1" applyBorder="1" applyAlignment="1">
      <alignment horizontal="center" shrinkToFit="1"/>
    </xf>
    <xf numFmtId="2" fontId="14" fillId="2" borderId="0" xfId="0" applyNumberFormat="1" applyFont="1" applyFill="1" applyBorder="1" applyAlignment="1">
      <alignment horizontal="center" shrinkToFit="1"/>
    </xf>
    <xf numFmtId="2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shrinkToFit="1"/>
    </xf>
    <xf numFmtId="0" fontId="14" fillId="2" borderId="0" xfId="0" applyFont="1" applyFill="1" applyBorder="1" applyAlignment="1">
      <alignment horizontal="center"/>
    </xf>
    <xf numFmtId="0" fontId="14" fillId="2" borderId="13" xfId="1" applyFont="1" applyFill="1" applyBorder="1" applyAlignment="1">
      <alignment horizontal="right" vertical="center"/>
    </xf>
    <xf numFmtId="165" fontId="14" fillId="2" borderId="0" xfId="0" applyNumberFormat="1" applyFont="1" applyFill="1"/>
    <xf numFmtId="165" fontId="19" fillId="3" borderId="24" xfId="0" applyNumberFormat="1" applyFont="1" applyFill="1" applyBorder="1" applyAlignment="1">
      <alignment horizontal="center" shrinkToFit="1"/>
    </xf>
    <xf numFmtId="165" fontId="19" fillId="3" borderId="25" xfId="0" applyNumberFormat="1" applyFont="1" applyFill="1" applyBorder="1" applyAlignment="1">
      <alignment horizontal="center" shrinkToFit="1"/>
    </xf>
    <xf numFmtId="165" fontId="19" fillId="3" borderId="15" xfId="0" applyNumberFormat="1" applyFont="1" applyFill="1" applyBorder="1" applyAlignment="1">
      <alignment horizontal="center" shrinkToFit="1"/>
    </xf>
    <xf numFmtId="165" fontId="19" fillId="3" borderId="26" xfId="0" applyNumberFormat="1" applyFont="1" applyFill="1" applyBorder="1" applyAlignment="1">
      <alignment horizontal="center" shrinkToFit="1"/>
    </xf>
    <xf numFmtId="0" fontId="10" fillId="8" borderId="3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shrinkToFit="1"/>
    </xf>
    <xf numFmtId="0" fontId="6" fillId="9" borderId="4" xfId="0" applyFont="1" applyFill="1" applyBorder="1" applyAlignment="1">
      <alignment horizontal="center" shrinkToFit="1"/>
    </xf>
    <xf numFmtId="0" fontId="6" fillId="9" borderId="12" xfId="0" applyFont="1" applyFill="1" applyBorder="1" applyAlignment="1">
      <alignment horizontal="center" shrinkToFit="1"/>
    </xf>
    <xf numFmtId="0" fontId="11" fillId="6" borderId="16" xfId="0" applyFont="1" applyFill="1" applyBorder="1" applyAlignment="1" applyProtection="1">
      <alignment horizontal="center" vertical="center"/>
    </xf>
    <xf numFmtId="0" fontId="11" fillId="6" borderId="17" xfId="0" applyFont="1" applyFill="1" applyBorder="1" applyAlignment="1" applyProtection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</xf>
    <xf numFmtId="0" fontId="11" fillId="6" borderId="19" xfId="0" applyFont="1" applyFill="1" applyBorder="1" applyAlignment="1" applyProtection="1">
      <alignment horizontal="center" vertical="center"/>
    </xf>
    <xf numFmtId="0" fontId="16" fillId="6" borderId="17" xfId="0" applyFont="1" applyFill="1" applyBorder="1" applyAlignment="1" applyProtection="1">
      <alignment horizontal="center" vertical="center" shrinkToFit="1"/>
    </xf>
    <xf numFmtId="0" fontId="16" fillId="6" borderId="20" xfId="0" applyFont="1" applyFill="1" applyBorder="1" applyAlignment="1" applyProtection="1">
      <alignment horizontal="center" vertical="center" shrinkToFit="1"/>
    </xf>
    <xf numFmtId="0" fontId="16" fillId="6" borderId="19" xfId="0" applyFont="1" applyFill="1" applyBorder="1" applyAlignment="1" applyProtection="1">
      <alignment horizontal="center" vertical="center" shrinkToFit="1"/>
    </xf>
    <xf numFmtId="0" fontId="16" fillId="6" borderId="21" xfId="0" applyFont="1" applyFill="1" applyBorder="1" applyAlignment="1" applyProtection="1">
      <alignment horizontal="center" vertical="center" shrinkToFit="1"/>
    </xf>
    <xf numFmtId="0" fontId="5" fillId="6" borderId="17" xfId="0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 applyProtection="1">
      <alignment horizontal="center" vertical="center"/>
    </xf>
    <xf numFmtId="2" fontId="18" fillId="10" borderId="6" xfId="0" applyNumberFormat="1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shrinkToFit="1"/>
    </xf>
    <xf numFmtId="0" fontId="6" fillId="9" borderId="30" xfId="0" applyFont="1" applyFill="1" applyBorder="1" applyAlignment="1">
      <alignment horizontal="center" shrinkToFit="1"/>
    </xf>
    <xf numFmtId="0" fontId="6" fillId="9" borderId="31" xfId="0" applyFont="1" applyFill="1" applyBorder="1" applyAlignment="1">
      <alignment horizontal="center" shrinkToFit="1"/>
    </xf>
    <xf numFmtId="0" fontId="6" fillId="9" borderId="41" xfId="0" applyFont="1" applyFill="1" applyBorder="1" applyAlignment="1">
      <alignment horizontal="center" shrinkToFit="1"/>
    </xf>
    <xf numFmtId="0" fontId="6" fillId="9" borderId="42" xfId="0" applyFont="1" applyFill="1" applyBorder="1" applyAlignment="1">
      <alignment horizontal="center" shrinkToFit="1"/>
    </xf>
    <xf numFmtId="1" fontId="19" fillId="3" borderId="46" xfId="0" applyNumberFormat="1" applyFont="1" applyFill="1" applyBorder="1" applyAlignment="1">
      <alignment horizontal="center" shrinkToFit="1"/>
    </xf>
    <xf numFmtId="1" fontId="19" fillId="3" borderId="25" xfId="0" applyNumberFormat="1" applyFont="1" applyFill="1" applyBorder="1" applyAlignment="1">
      <alignment horizontal="center" shrinkToFit="1"/>
    </xf>
    <xf numFmtId="0" fontId="2" fillId="4" borderId="35" xfId="0" applyFont="1" applyFill="1" applyBorder="1" applyAlignment="1">
      <alignment horizontal="center" shrinkToFit="1"/>
    </xf>
    <xf numFmtId="0" fontId="6" fillId="9" borderId="36" xfId="0" applyFont="1" applyFill="1" applyBorder="1" applyAlignment="1">
      <alignment horizontal="center" shrinkToFit="1"/>
    </xf>
    <xf numFmtId="2" fontId="18" fillId="10" borderId="39" xfId="0" applyNumberFormat="1" applyFont="1" applyFill="1" applyBorder="1" applyAlignment="1">
      <alignment horizontal="center" vertical="center" shrinkToFit="1"/>
    </xf>
    <xf numFmtId="0" fontId="16" fillId="6" borderId="47" xfId="0" applyFont="1" applyFill="1" applyBorder="1" applyAlignment="1" applyProtection="1">
      <alignment horizontal="center" vertical="center" shrinkToFit="1"/>
    </xf>
    <xf numFmtId="0" fontId="16" fillId="6" borderId="48" xfId="0" applyFont="1" applyFill="1" applyBorder="1" applyAlignment="1" applyProtection="1">
      <alignment horizontal="center" vertical="center" shrinkToFit="1"/>
    </xf>
    <xf numFmtId="0" fontId="2" fillId="4" borderId="57" xfId="0" applyFont="1" applyFill="1" applyBorder="1" applyAlignment="1">
      <alignment horizontal="center" shrinkToFit="1"/>
    </xf>
    <xf numFmtId="0" fontId="2" fillId="4" borderId="58" xfId="0" applyFont="1" applyFill="1" applyBorder="1" applyAlignment="1">
      <alignment horizontal="center" shrinkToFit="1"/>
    </xf>
    <xf numFmtId="2" fontId="17" fillId="11" borderId="28" xfId="0" applyNumberFormat="1" applyFont="1" applyFill="1" applyBorder="1" applyAlignment="1">
      <alignment horizontal="center" vertical="center" shrinkToFit="1"/>
    </xf>
    <xf numFmtId="2" fontId="17" fillId="11" borderId="26" xfId="0" applyNumberFormat="1" applyFont="1" applyFill="1" applyBorder="1" applyAlignment="1">
      <alignment horizontal="center" vertical="center" shrinkToFit="1"/>
    </xf>
    <xf numFmtId="2" fontId="18" fillId="10" borderId="34" xfId="0" applyNumberFormat="1" applyFont="1" applyFill="1" applyBorder="1" applyAlignment="1">
      <alignment horizontal="center" vertical="center" shrinkToFit="1"/>
    </xf>
    <xf numFmtId="0" fontId="10" fillId="7" borderId="7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center" vertical="center"/>
    </xf>
    <xf numFmtId="164" fontId="12" fillId="7" borderId="8" xfId="1" applyNumberFormat="1" applyFont="1" applyFill="1" applyBorder="1" applyAlignment="1">
      <alignment horizontal="center" vertical="center"/>
    </xf>
    <xf numFmtId="2" fontId="15" fillId="2" borderId="0" xfId="0" applyNumberFormat="1" applyFont="1" applyFill="1" applyBorder="1" applyAlignment="1">
      <alignment horizontal="center" vertical="center" shrinkToFit="1"/>
    </xf>
    <xf numFmtId="2" fontId="14" fillId="2" borderId="0" xfId="0" applyNumberFormat="1" applyFont="1" applyFill="1" applyBorder="1" applyAlignment="1">
      <alignment horizontal="center" vertical="center" shrinkToFit="1"/>
    </xf>
    <xf numFmtId="2" fontId="17" fillId="11" borderId="15" xfId="0" applyNumberFormat="1" applyFont="1" applyFill="1" applyBorder="1" applyAlignment="1">
      <alignment horizontal="center" vertical="center" shrinkToFit="1"/>
    </xf>
    <xf numFmtId="2" fontId="17" fillId="11" borderId="29" xfId="0" applyNumberFormat="1" applyFont="1" applyFill="1" applyBorder="1" applyAlignment="1">
      <alignment horizontal="center" vertical="center" shrinkToFit="1"/>
    </xf>
    <xf numFmtId="1" fontId="19" fillId="2" borderId="43" xfId="0" applyNumberFormat="1" applyFont="1" applyFill="1" applyBorder="1" applyAlignment="1">
      <alignment horizontal="center" shrinkToFit="1"/>
    </xf>
    <xf numFmtId="1" fontId="19" fillId="2" borderId="26" xfId="0" applyNumberFormat="1" applyFont="1" applyFill="1" applyBorder="1" applyAlignment="1">
      <alignment horizontal="center" shrinkToFit="1"/>
    </xf>
    <xf numFmtId="1" fontId="19" fillId="3" borderId="27" xfId="0" applyNumberFormat="1" applyFont="1" applyFill="1" applyBorder="1" applyAlignment="1">
      <alignment horizontal="center" shrinkToFit="1"/>
    </xf>
    <xf numFmtId="1" fontId="19" fillId="2" borderId="28" xfId="0" applyNumberFormat="1" applyFont="1" applyFill="1" applyBorder="1" applyAlignment="1">
      <alignment horizontal="center" shrinkToFit="1"/>
    </xf>
    <xf numFmtId="1" fontId="19" fillId="2" borderId="59" xfId="0" applyNumberFormat="1" applyFont="1" applyFill="1" applyBorder="1" applyAlignment="1">
      <alignment horizontal="center" shrinkToFit="1"/>
    </xf>
    <xf numFmtId="165" fontId="19" fillId="3" borderId="27" xfId="0" applyNumberFormat="1" applyFont="1" applyFill="1" applyBorder="1" applyAlignment="1">
      <alignment horizontal="center" shrinkToFit="1"/>
    </xf>
  </cellXfs>
  <cellStyles count="3">
    <cellStyle name="Normal" xfId="0" builtinId="0"/>
    <cellStyle name="Normal 2" xfId="1"/>
    <cellStyle name="Normal 2 2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6400"/>
      <color rgb="FF00FF99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295: 0 could not be resolved.</v>
        <stp/>
        <stp>ContractData</stp>
        <stp>0</stp>
        <stp>T_CVol</stp>
        <tr r="AR44" s="2"/>
      </tp>
      <tp>
        <v>0.4</v>
        <stp/>
        <stp>ContractData</stp>
        <stp>F.GLES3G</stp>
        <stp>LastTradeorSettle</stp>
        <stp/>
        <stp>T</stp>
        <tr r="W4" s="3"/>
      </tp>
      <tp>
        <v>126.45</v>
        <stp/>
        <stp>ContractData</stp>
        <stp>GLEG3</stp>
        <stp>Settlement</stp>
        <stp/>
        <stp>T</stp>
        <tr r="AJ2" s="3"/>
        <tr r="AP57" s="2"/>
      </tp>
      <tp>
        <v>130.125</v>
        <stp/>
        <stp>ContractData</stp>
        <stp>GLEJ3</stp>
        <stp>Settlement</stp>
        <stp/>
        <stp>T</stp>
        <tr r="AP58" s="2"/>
        <tr r="AJ3" s="3"/>
      </tp>
      <tp>
        <v>125.7</v>
        <stp/>
        <stp>ContractData</stp>
        <stp>GLEM3</stp>
        <stp>Settlement</stp>
        <stp/>
        <stp>T</stp>
        <tr r="AJ4" s="3"/>
        <tr r="AP59" s="2"/>
      </tp>
      <tp>
        <v>126.47499999999999</v>
        <stp/>
        <stp>ContractData</stp>
        <stp>GLEQ3</stp>
        <stp>Settlement</stp>
        <stp/>
        <stp>T</stp>
        <tr r="AP60" s="2"/>
        <tr r="AJ5" s="3"/>
      </tp>
      <tp>
        <v>130.30000000000001</v>
        <stp/>
        <stp>ContractData</stp>
        <stp>GLEV3</stp>
        <stp>Settlement</stp>
        <stp/>
        <stp>T</stp>
        <tr r="AP61" s="2"/>
        <tr r="AJ6" s="3"/>
      </tp>
      <tp>
        <v>131.875</v>
        <stp/>
        <stp>ContractData</stp>
        <stp>GLEZ3</stp>
        <stp>Settlement</stp>
        <stp/>
        <stp>T</stp>
        <tr r="AP62" s="2"/>
        <tr r="AJ7" s="3"/>
      </tp>
      <tp>
        <v>1.1499999999999999</v>
        <stp/>
        <stp>ContractData</stp>
        <stp>F.GLES2G</stp>
        <stp>LastTradeorSettle</stp>
        <stp/>
        <stp>T</stp>
        <tr r="W3" s="3"/>
      </tp>
      <tp>
        <v>-3.35</v>
        <stp/>
        <stp>ContractData</stp>
        <stp>F.GLES1G</stp>
        <stp>LastTradeorSettle</stp>
        <stp/>
        <stp>T</stp>
        <tr r="W2" s="3"/>
      </tp>
      <tp>
        <v>1</v>
        <stp/>
        <stp>ContractData</stp>
        <stp>F.HE?8</stp>
        <stp>MT_LastbIDVolume</stp>
        <tr r="AH37" s="2"/>
      </tp>
      <tp>
        <v>1</v>
        <stp/>
        <stp>ContractData</stp>
        <stp>F.HE?9</stp>
        <stp>MT_LastbIDVolume</stp>
        <tr r="AJ37" s="2"/>
      </tp>
      <tp>
        <v>7</v>
        <stp/>
        <stp>ContractData</stp>
        <stp>F.HE?6</stp>
        <stp>MT_LastbIDVolume</stp>
        <tr r="AD37" s="2"/>
      </tp>
      <tp>
        <v>18</v>
        <stp/>
        <stp>ContractData</stp>
        <stp>F.HE?7</stp>
        <stp>MT_LastbIDVolume</stp>
        <tr r="AF37" s="2"/>
      </tp>
      <tp>
        <v>4</v>
        <stp/>
        <stp>ContractData</stp>
        <stp>F.HE?4</stp>
        <stp>MT_LastbIDVolume</stp>
        <tr r="Z37" s="2"/>
      </tp>
      <tp>
        <v>3</v>
        <stp/>
        <stp>ContractData</stp>
        <stp>F.HE?5</stp>
        <stp>MT_LastbIDVolume</stp>
        <tr r="AB37" s="2"/>
      </tp>
      <tp>
        <v>15</v>
        <stp/>
        <stp>ContractData</stp>
        <stp>F.HE?2</stp>
        <stp>MT_LastbIDVolume</stp>
        <tr r="V37" s="2"/>
      </tp>
      <tp>
        <v>4</v>
        <stp/>
        <stp>ContractData</stp>
        <stp>F.HE?3</stp>
        <stp>MT_LastbIDVolume</stp>
        <tr r="X37" s="2"/>
      </tp>
      <tp>
        <v>4</v>
        <stp/>
        <stp>ContractData</stp>
        <stp>F.HE?1</stp>
        <stp>MT_LastbIDVolume</stp>
        <tr r="T37" s="2"/>
      </tp>
      <tp t="s">
        <v>295: F.GLES7G could not be resolved.</v>
        <stp/>
        <stp>ContractData</stp>
        <stp>F.GLES7G</stp>
        <stp>LastTradeorSettle</stp>
        <stp/>
        <stp>T</stp>
        <tr r="W8" s="3"/>
      </tp>
      <tp>
        <v>-6.1749999999999998</v>
        <stp/>
        <stp>ContractData</stp>
        <stp>F.GLES6G</stp>
        <stp>LastTradeorSettle</stp>
        <stp/>
        <stp>T</stp>
        <tr r="W7" s="3"/>
      </tp>
      <tp>
        <v>133.05000000000001</v>
        <stp/>
        <stp>ContractData</stp>
        <stp>GLEG4</stp>
        <stp>Settlement</stp>
        <stp/>
        <stp>T</stp>
        <tr r="AP63" s="2"/>
        <tr r="AJ8" s="3"/>
      </tp>
      <tp>
        <v>134.75</v>
        <stp/>
        <stp>ContractData</stp>
        <stp>GLEJ4</stp>
        <stp>Settlement</stp>
        <stp/>
        <stp>T</stp>
        <tr r="AP64" s="2"/>
        <tr r="AJ9" s="3"/>
      </tp>
      <tp>
        <v>131.77500000000001</v>
        <stp/>
        <stp>ContractData</stp>
        <stp>GLEM4</stp>
        <stp>Settlement</stp>
        <stp/>
        <stp>T</stp>
        <tr r="AP65" s="2"/>
        <tr r="AJ10" s="3"/>
      </tp>
      <tp t="s">
        <v>Lean Hogs (Globex): August 2013</v>
        <stp/>
        <stp>ContractData</stp>
        <stp>HEQ3</stp>
        <stp>LongDescription</stp>
        <tr r="AV41" s="2"/>
      </tp>
      <tp t="s">
        <v>Lean Hogs (Globex): October 2013</v>
        <stp/>
        <stp>ContractData</stp>
        <stp>HEV3</stp>
        <stp>LongDescription</stp>
        <tr r="AV42" s="2"/>
      </tp>
      <tp t="s">
        <v>Lean Hogs (Globex): December 2013</v>
        <stp/>
        <stp>ContractData</stp>
        <stp>HEZ3</stp>
        <stp>LongDescription</stp>
        <tr r="AV43" s="2"/>
      </tp>
      <tp t="s">
        <v>Lean Hogs (Globex): February 2014</v>
        <stp/>
        <stp>ContractData</stp>
        <stp>HEG4</stp>
        <stp>LongDescription</stp>
        <tr r="AV44" s="2"/>
      </tp>
      <tp t="s">
        <v>Lean Hogs (Globex): February 2013</v>
        <stp/>
        <stp>ContractData</stp>
        <stp>HEG3</stp>
        <stp>LongDescription</stp>
        <tr r="AV36" s="2"/>
      </tp>
      <tp t="s">
        <v>Lean Hogs (Globex): April 2014</v>
        <stp/>
        <stp>ContractData</stp>
        <stp>HEJ4</stp>
        <stp>LongDescription</stp>
        <tr r="AV45" s="2"/>
      </tp>
      <tp t="s">
        <v>Lean Hogs (Globex): April 2013</v>
        <stp/>
        <stp>ContractData</stp>
        <stp>HEJ3</stp>
        <stp>LongDescription</stp>
        <tr r="AV37" s="2"/>
      </tp>
      <tp t="s">
        <v>Lean Hogs (Globex): May 2014</v>
        <stp/>
        <stp>ContractData</stp>
        <stp>HEK4</stp>
        <stp>LongDescription</stp>
        <tr r="AV46" s="2"/>
      </tp>
      <tp t="s">
        <v>Lean Hogs (Globex): May 2013</v>
        <stp/>
        <stp>ContractData</stp>
        <stp>HEK3</stp>
        <stp>LongDescription</stp>
        <tr r="AV38" s="2"/>
      </tp>
      <tp t="s">
        <v>Lean Hogs (Globex): June 2014</v>
        <stp/>
        <stp>ContractData</stp>
        <stp>HEM4</stp>
        <stp>LongDescription</stp>
        <tr r="AV47" s="2"/>
      </tp>
      <tp t="s">
        <v>Lean Hogs (Globex): June 2013</v>
        <stp/>
        <stp>ContractData</stp>
        <stp>HEM3</stp>
        <stp>LongDescription</stp>
        <tr r="AV39" s="2"/>
      </tp>
      <tp t="s">
        <v>Lean Hogs (Globex): July 2013</v>
        <stp/>
        <stp>ContractData</stp>
        <stp>HEN3</stp>
        <stp>LongDescription</stp>
        <tr r="AV40" s="2"/>
      </tp>
      <tp t="s">
        <v/>
        <stp/>
        <stp>ContractData</stp>
        <stp>F.GLES5G</stp>
        <stp>LastTradeorSettle</stp>
        <stp/>
        <stp>T</stp>
        <tr r="W6" s="3"/>
      </tp>
      <tp t="s">
        <v/>
        <stp/>
        <stp>ContractData</stp>
        <stp>F.GLES4G</stp>
        <stp>LastTradeorSettle</stp>
        <stp/>
        <stp>T</stp>
        <tr r="W5" s="3"/>
      </tp>
      <tp t="s">
        <v>295: F.GLES9G could not be resolved.</v>
        <stp/>
        <stp>ContractData</stp>
        <stp>F.GLES9G</stp>
        <stp>LastTradeorSettle</stp>
        <stp/>
        <stp>T</stp>
        <tr r="W10" s="3"/>
      </tp>
      <tp t="s">
        <v>295: F.GLES8G could not be resolved.</v>
        <stp/>
        <stp>ContractData</stp>
        <stp>F.GLES8G</stp>
        <stp>LastTradeorSettle</stp>
        <stp/>
        <stp>T</stp>
        <tr r="W9" s="3"/>
      </tp>
      <tp t="s">
        <v>295: F.HES10G could not be resolved.</v>
        <stp/>
        <stp>ContractData</stp>
        <stp>F.HES10G</stp>
        <stp>LastTradeorSettle</stp>
        <stp/>
        <stp>T</stp>
        <tr r="W11" s="5"/>
      </tp>
      <tp t="s">
        <v>295: F.HES11G could not be resolved.</v>
        <stp/>
        <stp>ContractData</stp>
        <stp>F.HES11G</stp>
        <stp>LastTradeorSettle</stp>
        <stp/>
        <stp>T</stp>
        <tr r="W12" s="5"/>
      </tp>
      <tp t="s">
        <v>295: F.HES12G could not be resolved.</v>
        <stp/>
        <stp>ContractData</stp>
        <stp>F.HES12G</stp>
        <stp>LastTradeorSettle</stp>
        <stp/>
        <stp>T</stp>
        <tr r="W13" s="5"/>
      </tp>
      <tp t="s">
        <v>295: F.HES12G could not be resolved.</v>
        <stp/>
        <stp>ContractData</stp>
        <stp>F.HES12G</stp>
        <stp>NetLastQuoteToday</stp>
        <stp/>
        <stp>T</stp>
        <tr r="X13" s="5"/>
      </tp>
      <tp t="s">
        <v>295: F.HES10G could not be resolved.</v>
        <stp/>
        <stp>ContractData</stp>
        <stp>F.HES10G</stp>
        <stp>NetLastQuoteToday</stp>
        <stp/>
        <stp>T</stp>
        <tr r="X11" s="5"/>
      </tp>
      <tp t="s">
        <v>295: F.HES11G could not be resolved.</v>
        <stp/>
        <stp>ContractData</stp>
        <stp>F.HES11G</stp>
        <stp>NetLastQuoteToday</stp>
        <stp/>
        <stp>T</stp>
        <tr r="X12" s="5"/>
      </tp>
      <tp t="s">
        <v>295: F.GLES9G could not be resolved.</v>
        <stp/>
        <stp>ContractData</stp>
        <stp>F.GLES9G</stp>
        <stp>NetLastQuoteToday</stp>
        <stp/>
        <stp>T</stp>
        <tr r="X10" s="3"/>
      </tp>
      <tp t="s">
        <v>295: F.GLES8G could not be resolved.</v>
        <stp/>
        <stp>ContractData</stp>
        <stp>F.GLES8G</stp>
        <stp>NetLastQuoteToday</stp>
        <stp/>
        <stp>T</stp>
        <tr r="X9" s="3"/>
      </tp>
      <tp>
        <v>0.15</v>
        <stp/>
        <stp>ContractData</stp>
        <stp>F.GLES5G</stp>
        <stp>NetLastQuoteToday</stp>
        <stp/>
        <stp>T</stp>
        <tr r="X6" s="3"/>
      </tp>
      <tp>
        <v>0.32500000000000001</v>
        <stp/>
        <stp>ContractData</stp>
        <stp>F.GLES4G</stp>
        <stp>NetLastQuoteToday</stp>
        <stp/>
        <stp>T</stp>
        <tr r="X5" s="3"/>
      </tp>
      <tp t="s">
        <v>295: F.GLES7G could not be resolved.</v>
        <stp/>
        <stp>ContractData</stp>
        <stp>F.GLES7G</stp>
        <stp>NetLastQuoteToday</stp>
        <stp/>
        <stp>T</stp>
        <tr r="X8" s="3"/>
      </tp>
      <tp>
        <v>0.22500000000000001</v>
        <stp/>
        <stp>ContractData</stp>
        <stp>F.GLES6G</stp>
        <stp>NetLastQuoteToday</stp>
        <stp/>
        <stp>T</stp>
        <tr r="X7" s="3"/>
      </tp>
      <tp>
        <v>0.32500000000000001</v>
        <stp/>
        <stp>ContractData</stp>
        <stp>F.GLES1G</stp>
        <stp>NetLastQuoteToday</stp>
        <stp/>
        <stp>T</stp>
        <tr r="X2" s="3"/>
      </tp>
      <tp>
        <v>83.3</v>
        <stp/>
        <stp>ContractData</stp>
        <stp>F.HE?9</stp>
        <stp>LastTradeorSettle</stp>
        <stp/>
        <stp>T</stp>
        <tr r="AJ38" s="2"/>
      </tp>
      <tp>
        <v>81.8</v>
        <stp/>
        <stp>ContractData</stp>
        <stp>F.HE?8</stp>
        <stp>LastTradeorSettle</stp>
        <stp/>
        <stp>T</stp>
        <tr r="AH38" s="2"/>
      </tp>
      <tp>
        <v>93.2</v>
        <stp/>
        <stp>ContractData</stp>
        <stp>F.HE?3</stp>
        <stp>LastTradeorSettle</stp>
        <stp/>
        <stp>T</stp>
        <tr r="X38" s="2"/>
      </tp>
      <tp>
        <v>86.325000000000003</v>
        <stp/>
        <stp>ContractData</stp>
        <stp>F.HE?2</stp>
        <stp>LastTradeorSettle</stp>
        <stp/>
        <stp>T</stp>
        <tr r="V38" s="2"/>
      </tp>
      <tp>
        <v>86.525000000000006</v>
        <stp/>
        <stp>ContractData</stp>
        <stp>F.HE?1</stp>
        <stp>LastTradeorSettle</stp>
        <stp/>
        <stp>T</stp>
        <tr r="T38" s="2"/>
      </tp>
      <tp>
        <v>84.875</v>
        <stp/>
        <stp>ContractData</stp>
        <stp>F.HE?7</stp>
        <stp>LastTradeorSettle</stp>
        <stp/>
        <stp>T</stp>
        <tr r="AF38" s="2"/>
      </tp>
      <tp>
        <v>93.9</v>
        <stp/>
        <stp>ContractData</stp>
        <stp>F.HE?6</stp>
        <stp>LastTradeorSettle</stp>
        <stp/>
        <stp>T</stp>
        <tr r="AD38" s="2"/>
      </tp>
      <tp>
        <v>94.1</v>
        <stp/>
        <stp>ContractData</stp>
        <stp>F.HE?5</stp>
        <stp>LastTradeorSettle</stp>
        <stp/>
        <stp>T</stp>
        <tr r="AB38" s="2"/>
      </tp>
      <tp>
        <v>94.525000000000006</v>
        <stp/>
        <stp>ContractData</stp>
        <stp>F.HE?4</stp>
        <stp>LastTradeorSettle</stp>
        <stp/>
        <stp>T</stp>
        <tr r="Z38" s="2"/>
      </tp>
      <tp>
        <v>0.47499999999999998</v>
        <stp/>
        <stp>ContractData</stp>
        <stp>F.GLES3G</stp>
        <stp>NetLastQuoteToday</stp>
        <stp/>
        <stp>T</stp>
        <tr r="X4" s="3"/>
      </tp>
      <tp>
        <v>0.32500000000000001</v>
        <stp/>
        <stp>ContractData</stp>
        <stp>F.GLES2G</stp>
        <stp>NetLastQuoteToday</stp>
        <stp/>
        <stp>T</stp>
        <tr r="X3" s="3"/>
      </tp>
      <tp>
        <v>126.47499999999999</v>
        <stp/>
        <stp>ContractData</stp>
        <stp>GLEQ3</stp>
        <stp>Ask</stp>
        <stp/>
        <stp>T</stp>
        <tr r="I36" s="2"/>
        <tr r="AP30" s="2"/>
        <tr r="T5" s="3"/>
      </tp>
      <tp>
        <v>130.42500000000001</v>
        <stp/>
        <stp>ContractData</stp>
        <stp>GLEV3</stp>
        <stp>Ask</stp>
        <stp/>
        <stp>T</stp>
        <tr r="K36" s="2"/>
        <tr r="AQ30" s="2"/>
        <tr r="T6" s="3"/>
      </tp>
      <tp>
        <v>132.17500000000001</v>
        <stp/>
        <stp>ContractData</stp>
        <stp>GLEZ3</stp>
        <stp>Ask</stp>
        <stp/>
        <stp>T</stp>
        <tr r="AR30" s="2"/>
        <tr r="M36" s="2"/>
        <tr r="T7" s="3"/>
      </tp>
      <tp>
        <v>126.95</v>
        <stp/>
        <stp>ContractData</stp>
        <stp>GLEG3</stp>
        <stp>Ask</stp>
        <stp/>
        <stp>T</stp>
        <tr r="B36" s="2"/>
        <tr r="AM30" s="2"/>
        <tr r="C8" s="2"/>
        <tr r="T2" s="3"/>
      </tp>
      <tp>
        <v>133.07499999999999</v>
        <stp/>
        <stp>ContractData</stp>
        <stp>GLEG4</stp>
        <stp>Ask</stp>
        <stp/>
        <stp>T</stp>
        <tr r="P36" s="2"/>
        <tr r="AS30" s="2"/>
        <tr r="O8" s="2"/>
        <tr r="T8" s="3"/>
      </tp>
      <tp>
        <v>130.30000000000001</v>
        <stp/>
        <stp>ContractData</stp>
        <stp>GLEJ3</stp>
        <stp>Ask</stp>
        <stp/>
        <stp>T</stp>
        <tr r="AN30" s="2"/>
        <tr r="E36" s="2"/>
        <tr r="T3" s="3"/>
      </tp>
      <tp>
        <v>134.5</v>
        <stp/>
        <stp>ContractData</stp>
        <stp>GLEJ4</stp>
        <stp>Ask</stp>
        <stp/>
        <stp>T</stp>
        <tr r="AT30" s="2"/>
        <tr r="R36" s="2"/>
        <tr r="T9" s="3"/>
      </tp>
      <tp>
        <v>125.825</v>
        <stp/>
        <stp>ContractData</stp>
        <stp>GLEM3</stp>
        <stp>Ask</stp>
        <stp/>
        <stp>T</stp>
        <tr r="G36" s="2"/>
        <tr r="AO30" s="2"/>
        <tr r="T4" s="3"/>
      </tp>
      <tp>
        <v>131.97499999999999</v>
        <stp/>
        <stp>ContractData</stp>
        <stp>GLEM4</stp>
        <stp>Ask</stp>
        <stp/>
        <stp>T</stp>
        <tr r="T10" s="3"/>
      </tp>
      <tp>
        <v>130.30000000000001</v>
        <stp/>
        <stp>ContractData</stp>
        <stp>GLE?2</stp>
        <stp>Ask</stp>
        <stp/>
        <stp>T</stp>
        <tr r="F8" s="2"/>
      </tp>
      <tp>
        <v>125.825</v>
        <stp/>
        <stp>ContractData</stp>
        <stp>GLE?3</stp>
        <stp>Ask</stp>
        <stp/>
        <stp>T</stp>
        <tr r="H8" s="2"/>
      </tp>
      <tp>
        <v>126.47499999999999</v>
        <stp/>
        <stp>ContractData</stp>
        <stp>GLE?4</stp>
        <stp>Ask</stp>
        <stp/>
        <stp>T</stp>
        <tr r="J8" s="2"/>
      </tp>
      <tp>
        <v>130.42500000000001</v>
        <stp/>
        <stp>ContractData</stp>
        <stp>GLE?5</stp>
        <stp>Ask</stp>
        <stp/>
        <stp>T</stp>
        <tr r="L8" s="2"/>
      </tp>
      <tp>
        <v>132.17500000000001</v>
        <stp/>
        <stp>ContractData</stp>
        <stp>GLE?6</stp>
        <stp>Ask</stp>
        <stp/>
        <stp>T</stp>
        <tr r="N8" s="2"/>
      </tp>
      <tp>
        <v>133.07499999999999</v>
        <stp/>
        <stp>ContractData</stp>
        <stp>GLE?7</stp>
        <stp>Ask</stp>
        <stp/>
        <stp>T</stp>
        <tr r="Q8" s="2"/>
      </tp>
      <tp>
        <v>134.5</v>
        <stp/>
        <stp>ContractData</stp>
        <stp>GLE?8</stp>
        <stp>Ask</stp>
        <stp/>
        <stp>T</stp>
        <tr r="S8" s="2"/>
      </tp>
      <tp>
        <v>131.97499999999999</v>
        <stp/>
        <stp>ContractData</stp>
        <stp>GLE?9</stp>
        <stp>Ask</stp>
        <stp/>
        <stp>T</stp>
        <tr r="U8" s="2"/>
      </tp>
      <tp>
        <v>134.25</v>
        <stp/>
        <stp>ContractData</stp>
        <stp>GLEJ4</stp>
        <stp>Bid</stp>
        <stp/>
        <stp>T</stp>
        <tr r="AT29" s="2"/>
        <tr r="R34" s="2"/>
        <tr r="S9" s="3"/>
      </tp>
      <tp>
        <v>130.27500000000001</v>
        <stp/>
        <stp>ContractData</stp>
        <stp>GLEJ3</stp>
        <stp>Bid</stp>
        <stp/>
        <stp>T</stp>
        <tr r="AN29" s="2"/>
        <tr r="E34" s="2"/>
        <tr r="S3" s="3"/>
      </tp>
      <tp>
        <v>130.30000000000001</v>
        <stp/>
        <stp>ContractData</stp>
        <stp>GLEM4</stp>
        <stp>Bid</stp>
        <stp/>
        <stp>T</stp>
        <tr r="S10" s="3"/>
      </tp>
      <tp>
        <v>125.8</v>
        <stp/>
        <stp>ContractData</stp>
        <stp>GLEM3</stp>
        <stp>Bid</stp>
        <stp/>
        <stp>T</stp>
        <tr r="G34" s="2"/>
        <tr r="AO29" s="2"/>
        <tr r="S4" s="3"/>
      </tp>
      <tp>
        <v>133</v>
        <stp/>
        <stp>ContractData</stp>
        <stp>GLEG4</stp>
        <stp>Bid</stp>
        <stp/>
        <stp>T</stp>
        <tr r="O10" s="2"/>
        <tr r="S8" s="3"/>
        <tr r="AS29" s="2"/>
        <tr r="P34" s="2"/>
      </tp>
      <tp>
        <v>126.925</v>
        <stp/>
        <stp>ContractData</stp>
        <stp>GLEG3</stp>
        <stp>Bid</stp>
        <stp/>
        <stp>T</stp>
        <tr r="B34" s="2"/>
        <tr r="AM29" s="2"/>
        <tr r="C10" s="2"/>
        <tr r="S2" s="3"/>
      </tp>
      <tp>
        <v>132.15</v>
        <stp/>
        <stp>ContractData</stp>
        <stp>GLEZ3</stp>
        <stp>Bid</stp>
        <stp/>
        <stp>T</stp>
        <tr r="AR29" s="2"/>
        <tr r="M34" s="2"/>
        <tr r="S7" s="3"/>
      </tp>
      <tp>
        <v>126.425</v>
        <stp/>
        <stp>ContractData</stp>
        <stp>GLEQ3</stp>
        <stp>Bid</stp>
        <stp/>
        <stp>T</stp>
        <tr r="I34" s="2"/>
        <tr r="AP29" s="2"/>
        <tr r="S5" s="3"/>
      </tp>
      <tp>
        <v>130.375</v>
        <stp/>
        <stp>ContractData</stp>
        <stp>GLEV3</stp>
        <stp>Bid</stp>
        <stp/>
        <stp>T</stp>
        <tr r="K34" s="2"/>
        <tr r="AQ29" s="2"/>
        <tr r="S6" s="3"/>
      </tp>
      <tp>
        <v>130.30000000000001</v>
        <stp/>
        <stp>ContractData</stp>
        <stp>GLE?9</stp>
        <stp>Bid</stp>
        <stp/>
        <stp>T</stp>
        <tr r="U10" s="2"/>
      </tp>
      <tp>
        <v>134.25</v>
        <stp/>
        <stp>ContractData</stp>
        <stp>GLE?8</stp>
        <stp>Bid</stp>
        <stp/>
        <stp>T</stp>
        <tr r="S10" s="2"/>
      </tp>
      <tp>
        <v>133</v>
        <stp/>
        <stp>ContractData</stp>
        <stp>GLE?7</stp>
        <stp>Bid</stp>
        <stp/>
        <stp>T</stp>
        <tr r="Q10" s="2"/>
      </tp>
      <tp>
        <v>132.15</v>
        <stp/>
        <stp>ContractData</stp>
        <stp>GLE?6</stp>
        <stp>Bid</stp>
        <stp/>
        <stp>T</stp>
        <tr r="N10" s="2"/>
      </tp>
      <tp>
        <v>130.375</v>
        <stp/>
        <stp>ContractData</stp>
        <stp>GLE?5</stp>
        <stp>Bid</stp>
        <stp/>
        <stp>T</stp>
        <tr r="L10" s="2"/>
      </tp>
      <tp>
        <v>126.425</v>
        <stp/>
        <stp>ContractData</stp>
        <stp>GLE?4</stp>
        <stp>Bid</stp>
        <stp/>
        <stp>T</stp>
        <tr r="J10" s="2"/>
      </tp>
      <tp>
        <v>125.8</v>
        <stp/>
        <stp>ContractData</stp>
        <stp>GLE?3</stp>
        <stp>Bid</stp>
        <stp/>
        <stp>T</stp>
        <tr r="H10" s="2"/>
      </tp>
      <tp>
        <v>130.27500000000001</v>
        <stp/>
        <stp>ContractData</stp>
        <stp>GLE?2</stp>
        <stp>Bid</stp>
        <stp/>
        <stp>T</stp>
        <tr r="F10" s="2"/>
      </tp>
      <tp t="s">
        <v>Lean Hogs (Globex): February 2013</v>
        <stp/>
        <stp>ContractData</stp>
        <stp>F.HE?1</stp>
        <stp>LongDescription</stp>
        <tr r="V33" s="2"/>
      </tp>
      <tp>
        <v>-0.57499999999999996</v>
        <stp/>
        <stp>ContractData</stp>
        <stp>HEJ4</stp>
        <stp>NetLastQuoteToday</stp>
        <stp/>
        <stp>T</stp>
        <tr r="U11" s="5"/>
      </tp>
      <tp>
        <v>-0.17499999999999999</v>
        <stp/>
        <stp>ContractData</stp>
        <stp>GFJ3</stp>
        <stp>NetLastQuoteToday</stp>
        <stp/>
        <stp>T</stp>
        <tr r="U3" s="6"/>
      </tp>
      <tp>
        <v>0.2</v>
        <stp/>
        <stp>ContractData</stp>
        <stp>HEJ3</stp>
        <stp>NetLastQuoteToday</stp>
        <stp/>
        <stp>T</stp>
        <tr r="U3" s="5"/>
      </tp>
      <tp>
        <v>-0.42499999999999999</v>
        <stp/>
        <stp>ContractData</stp>
        <stp>HEK4</stp>
        <stp>NetLastQuoteToday</stp>
        <stp/>
        <stp>T</stp>
        <tr r="U12" s="5"/>
      </tp>
      <tp>
        <v>158.47499999999999</v>
        <stp/>
        <stp>ContractData</stp>
        <stp>GFU3</stp>
        <stp>LastTradeorSettle</stp>
        <stp/>
        <stp>T</stp>
        <tr r="R6" s="6"/>
      </tp>
      <tp>
        <v>0.17499999999999999</v>
        <stp/>
        <stp>ContractData</stp>
        <stp>GFK3</stp>
        <stp>NetLastQuoteToday</stp>
        <stp/>
        <stp>T</stp>
        <tr r="U4" s="6"/>
      </tp>
      <tp>
        <v>-0.125</v>
        <stp/>
        <stp>ContractData</stp>
        <stp>HEK3</stp>
        <stp>NetLastQuoteToday</stp>
        <stp/>
        <stp>T</stp>
        <tr r="U4" s="5"/>
      </tp>
      <tp>
        <v>160.1</v>
        <stp/>
        <stp>ContractData</stp>
        <stp>GFV3</stp>
        <stp>LastTradeorSettle</stp>
        <stp/>
        <stp>T</stp>
        <tr r="R7" s="6"/>
      </tp>
      <tp>
        <v>84.875</v>
        <stp/>
        <stp>ContractData</stp>
        <stp>HEV3</stp>
        <stp>LastTradeorSettle</stp>
        <stp/>
        <stp>T</stp>
        <tr r="R8" s="5"/>
      </tp>
      <tp>
        <v>-0.47499999999999998</v>
        <stp/>
        <stp>ContractData</stp>
        <stp>GFH3</stp>
        <stp>NetLastQuoteToday</stp>
        <stp/>
        <stp>T</stp>
        <tr r="U2" s="6"/>
      </tp>
      <tp>
        <v>2</v>
        <stp/>
        <stp>ContractData</stp>
        <stp>GFH3</stp>
        <stp>MT_LastbIDVolume</stp>
        <tr r="V10" s="2"/>
      </tp>
      <tp t="s">
        <v>Feeder Cattle (Globex): March 2013</v>
        <stp/>
        <stp>ContractData</stp>
        <stp>F.GF?1</stp>
        <stp>LongDescription</stp>
        <tr r="X4" s="2"/>
      </tp>
      <tp t="s">
        <v>JAN</v>
        <stp/>
        <stp>ContractData</stp>
        <stp>GFF4</stp>
        <stp>ContractMonth</stp>
        <tr r="B9" s="6"/>
      </tp>
      <tp t="s">
        <v>JUN</v>
        <stp/>
        <stp>ContractData</stp>
        <stp>HEM4</stp>
        <stp>ContractMonth</stp>
        <tr r="B13" s="5"/>
      </tp>
      <tp t="s">
        <v>MAY</v>
        <stp/>
        <stp>ContractData</stp>
        <stp>HEK4</stp>
        <stp>ContractMonth</stp>
        <tr r="B12" s="5"/>
      </tp>
      <tp t="s">
        <v>APR</v>
        <stp/>
        <stp>ContractData</stp>
        <stp>HEJ4</stp>
        <stp>ContractMonth</stp>
        <tr r="B11" s="5"/>
      </tp>
      <tp t="s">
        <v>FEB</v>
        <stp/>
        <stp>ContractData</stp>
        <stp>HEG4</stp>
        <stp>ContractMonth</stp>
        <tr r="B10" s="5"/>
      </tp>
      <tp>
        <v>14</v>
        <stp/>
        <stp>ContractData</stp>
        <stp>GLEG3</stp>
        <stp>MT_LastbIDVolume</stp>
        <tr r="B10" s="2"/>
      </tp>
      <tp>
        <v>0.47499999999999998</v>
        <stp/>
        <stp>ContractData</stp>
        <stp>GLEG3</stp>
        <stp>NetLastQuoteToday</stp>
        <stp/>
        <stp>T</stp>
        <tr r="U2" s="3"/>
      </tp>
      <tp>
        <v>-7.4999999999999997E-2</v>
        <stp/>
        <stp>ContractData</stp>
        <stp>GLEG4</stp>
        <stp>NetLastQuoteToday</stp>
        <stp/>
        <stp>T</stp>
        <tr r="U8" s="3"/>
      </tp>
      <tp t="s">
        <v>NOV</v>
        <stp/>
        <stp>ContractData</stp>
        <stp>GFX3</stp>
        <stp>ContractMonth</stp>
        <tr r="B8" s="6"/>
      </tp>
      <tp t="s">
        <v>SEP</v>
        <stp/>
        <stp>ContractData</stp>
        <stp>GFU3</stp>
        <stp>ContractMonth</stp>
        <tr r="B6" s="6"/>
      </tp>
      <tp t="s">
        <v>OCT</v>
        <stp/>
        <stp>ContractData</stp>
        <stp>GFV3</stp>
        <stp>ContractMonth</stp>
        <tr r="B7" s="6"/>
      </tp>
      <tp t="s">
        <v>AUG</v>
        <stp/>
        <stp>ContractData</stp>
        <stp>GFQ3</stp>
        <stp>ContractMonth</stp>
        <tr r="B5" s="6"/>
      </tp>
      <tp t="s">
        <v>MAR</v>
        <stp/>
        <stp>ContractData</stp>
        <stp>GFH3</stp>
        <stp>ContractMonth</stp>
        <tr r="B2" s="6"/>
      </tp>
      <tp t="s">
        <v>MAY</v>
        <stp/>
        <stp>ContractData</stp>
        <stp>GFK3</stp>
        <stp>ContractMonth</stp>
        <tr r="B4" s="6"/>
      </tp>
      <tp t="s">
        <v>APR</v>
        <stp/>
        <stp>ContractData</stp>
        <stp>GFJ3</stp>
        <stp>ContractMonth</stp>
        <tr r="B3" s="6"/>
      </tp>
      <tp>
        <v>0</v>
        <stp/>
        <stp>ContractData</stp>
        <stp>HEN3</stp>
        <stp>NetLastQuoteToday</stp>
        <stp/>
        <stp>T</stp>
        <tr r="U6" s="5"/>
      </tp>
      <tp t="s">
        <v>DEC</v>
        <stp/>
        <stp>ContractData</stp>
        <stp>HEZ3</stp>
        <stp>ContractMonth</stp>
        <tr r="B9" s="5"/>
      </tp>
      <tp t="s">
        <v>OCT</v>
        <stp/>
        <stp>ContractData</stp>
        <stp>HEV3</stp>
        <stp>ContractMonth</stp>
        <tr r="B8" s="5"/>
      </tp>
      <tp t="s">
        <v>AUG</v>
        <stp/>
        <stp>ContractData</stp>
        <stp>HEQ3</stp>
        <stp>ContractMonth</stp>
        <tr r="B7" s="5"/>
      </tp>
      <tp t="s">
        <v>JUN</v>
        <stp/>
        <stp>ContractData</stp>
        <stp>HEM3</stp>
        <stp>ContractMonth</stp>
        <tr r="B5" s="5"/>
      </tp>
      <tp t="s">
        <v>JUL</v>
        <stp/>
        <stp>ContractData</stp>
        <stp>HEN3</stp>
        <stp>ContractMonth</stp>
        <tr r="B6" s="5"/>
      </tp>
      <tp t="s">
        <v>MAY</v>
        <stp/>
        <stp>ContractData</stp>
        <stp>HEK3</stp>
        <stp>ContractMonth</stp>
        <tr r="B4" s="5"/>
      </tp>
      <tp t="s">
        <v>APR</v>
        <stp/>
        <stp>ContractData</stp>
        <stp>HEJ3</stp>
        <stp>ContractMonth</stp>
        <tr r="B3" s="5"/>
      </tp>
      <tp t="s">
        <v>FEB</v>
        <stp/>
        <stp>ContractData</stp>
        <stp>HEG3</stp>
        <stp>ContractMonth</stp>
        <tr r="B2" s="5"/>
      </tp>
      <tp>
        <v>157.15</v>
        <stp/>
        <stp>ContractData</stp>
        <stp>GFQ3</stp>
        <stp>LastTradeorSettle</stp>
        <stp/>
        <stp>T</stp>
        <tr r="R5" s="6"/>
      </tp>
      <tp>
        <v>93.9</v>
        <stp/>
        <stp>ContractData</stp>
        <stp>HEQ3</stp>
        <stp>LastTradeorSettle</stp>
        <stp/>
        <stp>T</stp>
        <tr r="R7" s="5"/>
      </tp>
      <tp>
        <v>132.17500000000001</v>
        <stp/>
        <stp>ContractData</stp>
        <stp>GLEZ3</stp>
        <stp>LastTradeorSettle</stp>
        <stp/>
        <stp>T</stp>
        <tr r="R7" s="3"/>
      </tp>
      <tp>
        <v>-0.7</v>
        <stp/>
        <stp>ContractData</stp>
        <stp>HEM4</stp>
        <stp>NetLastQuoteToday</stp>
        <stp/>
        <stp>T</stp>
        <tr r="U13" s="5"/>
      </tp>
      <tp>
        <v>81.75</v>
        <stp/>
        <stp>ContractData</stp>
        <stp>HEZ3</stp>
        <stp>Ask</stp>
        <stp/>
        <stp>T</stp>
        <tr r="T9" s="5"/>
      </tp>
      <tp>
        <v>93.9</v>
        <stp/>
        <stp>ContractData</stp>
        <stp>HEQ3</stp>
        <stp>Ask</stp>
        <stp/>
        <stp>T</stp>
        <tr r="T7" s="5"/>
      </tp>
      <tp>
        <v>84.974999999999994</v>
        <stp/>
        <stp>ContractData</stp>
        <stp>HEV3</stp>
        <stp>Ask</stp>
        <stp/>
        <stp>T</stp>
        <tr r="T8" s="5"/>
      </tp>
      <tp>
        <v>90.325000000000003</v>
        <stp/>
        <stp>ContractData</stp>
        <stp>HEK4</stp>
        <stp>Ask</stp>
        <stp/>
        <stp>T</stp>
        <tr r="T12" s="5"/>
      </tp>
      <tp>
        <v>93.375</v>
        <stp/>
        <stp>ContractData</stp>
        <stp>HEK3</stp>
        <stp>Ask</stp>
        <stp/>
        <stp>T</stp>
        <tr r="T4" s="5"/>
      </tp>
      <tp>
        <v>84.724999999999994</v>
        <stp/>
        <stp>ContractData</stp>
        <stp>HEJ4</stp>
        <stp>Ask</stp>
        <stp/>
        <stp>T</stp>
        <tr r="T11" s="5"/>
      </tp>
      <tp>
        <v>86.35</v>
        <stp/>
        <stp>ContractData</stp>
        <stp>HEJ3</stp>
        <stp>Ask</stp>
        <stp/>
        <stp>T</stp>
        <tr r="T3" s="5"/>
      </tp>
      <tp>
        <v>94.125</v>
        <stp/>
        <stp>ContractData</stp>
        <stp>HEN3</stp>
        <stp>Ask</stp>
        <stp/>
        <stp>T</stp>
        <tr r="T6" s="5"/>
      </tp>
      <tp>
        <v>91.75</v>
        <stp/>
        <stp>ContractData</stp>
        <stp>HEM4</stp>
        <stp>Ask</stp>
        <stp/>
        <stp>T</stp>
        <tr r="T13" s="5"/>
      </tp>
      <tp>
        <v>94.525000000000006</v>
        <stp/>
        <stp>ContractData</stp>
        <stp>HEM3</stp>
        <stp>Ask</stp>
        <stp/>
        <stp>T</stp>
        <tr r="T5" s="5"/>
      </tp>
      <tp>
        <v>83.25</v>
        <stp/>
        <stp>ContractData</stp>
        <stp>HEG4</stp>
        <stp>Ask</stp>
        <stp/>
        <stp>T</stp>
        <tr r="T10" s="5"/>
      </tp>
      <tp>
        <v>86.575000000000003</v>
        <stp/>
        <stp>ContractData</stp>
        <stp>HEG3</stp>
        <stp>Ask</stp>
        <stp/>
        <stp>T</stp>
        <tr r="T2" s="5"/>
      </tp>
      <tp>
        <v>83.25</v>
        <stp/>
        <stp>ContractData</stp>
        <stp>HE?9</stp>
        <stp>Ask</stp>
        <stp/>
        <stp>T</stp>
        <tr r="AK36" s="2"/>
      </tp>
      <tp>
        <v>81.75</v>
        <stp/>
        <stp>ContractData</stp>
        <stp>HE?8</stp>
        <stp>Ask</stp>
        <stp/>
        <stp>T</stp>
        <tr r="AI36" s="2"/>
      </tp>
      <tp>
        <v>84.974999999999994</v>
        <stp/>
        <stp>ContractData</stp>
        <stp>HE?7</stp>
        <stp>Ask</stp>
        <stp/>
        <stp>T</stp>
        <tr r="AG36" s="2"/>
      </tp>
      <tp>
        <v>93.9</v>
        <stp/>
        <stp>ContractData</stp>
        <stp>HE?6</stp>
        <stp>Ask</stp>
        <stp/>
        <stp>T</stp>
        <tr r="AE36" s="2"/>
      </tp>
      <tp>
        <v>94.125</v>
        <stp/>
        <stp>ContractData</stp>
        <stp>HE?5</stp>
        <stp>Ask</stp>
        <stp/>
        <stp>T</stp>
        <tr r="AC36" s="2"/>
      </tp>
      <tp>
        <v>94.525000000000006</v>
        <stp/>
        <stp>ContractData</stp>
        <stp>HE?4</stp>
        <stp>Ask</stp>
        <stp/>
        <stp>T</stp>
        <tr r="AA36" s="2"/>
      </tp>
      <tp>
        <v>93.375</v>
        <stp/>
        <stp>ContractData</stp>
        <stp>HE?3</stp>
        <stp>Ask</stp>
        <stp/>
        <stp>T</stp>
        <tr r="Y36" s="2"/>
      </tp>
      <tp>
        <v>86.35</v>
        <stp/>
        <stp>ContractData</stp>
        <stp>HE?2</stp>
        <stp>Ask</stp>
        <stp/>
        <stp>T</stp>
        <tr r="W36" s="2"/>
      </tp>
      <tp>
        <v>86.575000000000003</v>
        <stp/>
        <stp>ContractData</stp>
        <stp>HE?1</stp>
        <stp>Ask</stp>
        <stp/>
        <stp>T</stp>
        <tr r="U36" s="2"/>
      </tp>
      <tp>
        <v>86.525000000000006</v>
        <stp/>
        <stp>ContractData</stp>
        <stp>HEG3</stp>
        <stp>Bid</stp>
        <stp/>
        <stp>T</stp>
        <tr r="S2" s="5"/>
      </tp>
      <tp>
        <v>83.1</v>
        <stp/>
        <stp>ContractData</stp>
        <stp>HEG4</stp>
        <stp>Bid</stp>
        <stp/>
        <stp>T</stp>
        <tr r="S10" s="5"/>
      </tp>
      <tp>
        <v>93.25</v>
        <stp/>
        <stp>ContractData</stp>
        <stp>HEK3</stp>
        <stp>Bid</stp>
        <stp/>
        <stp>T</stp>
        <tr r="S4" s="5"/>
      </tp>
      <tp>
        <v>89.7</v>
        <stp/>
        <stp>ContractData</stp>
        <stp>HEK4</stp>
        <stp>Bid</stp>
        <stp/>
        <stp>T</stp>
        <tr r="S12" s="5"/>
      </tp>
      <tp>
        <v>86.325000000000003</v>
        <stp/>
        <stp>ContractData</stp>
        <stp>HEJ3</stp>
        <stp>Bid</stp>
        <stp/>
        <stp>T</stp>
        <tr r="S3" s="5"/>
      </tp>
      <tp>
        <v>84.5</v>
        <stp/>
        <stp>ContractData</stp>
        <stp>HEJ4</stp>
        <stp>Bid</stp>
        <stp/>
        <stp>T</stp>
        <tr r="S11" s="5"/>
      </tp>
      <tp>
        <v>94.474999999999994</v>
        <stp/>
        <stp>ContractData</stp>
        <stp>HEM3</stp>
        <stp>Bid</stp>
        <stp/>
        <stp>T</stp>
        <tr r="S5" s="5"/>
      </tp>
      <tp>
        <v>91.6</v>
        <stp/>
        <stp>ContractData</stp>
        <stp>HEM4</stp>
        <stp>Bid</stp>
        <stp/>
        <stp>T</stp>
        <tr r="S13" s="5"/>
      </tp>
      <tp>
        <v>94.1</v>
        <stp/>
        <stp>ContractData</stp>
        <stp>HEN3</stp>
        <stp>Bid</stp>
        <stp/>
        <stp>T</stp>
        <tr r="S6" s="5"/>
      </tp>
      <tp>
        <v>93.825000000000003</v>
        <stp/>
        <stp>ContractData</stp>
        <stp>HEQ3</stp>
        <stp>Bid</stp>
        <stp/>
        <stp>T</stp>
        <tr r="S7" s="5"/>
      </tp>
      <tp>
        <v>84.825000000000003</v>
        <stp/>
        <stp>ContractData</stp>
        <stp>HEV3</stp>
        <stp>Bid</stp>
        <stp/>
        <stp>T</stp>
        <tr r="S8" s="5"/>
      </tp>
      <tp>
        <v>81.625</v>
        <stp/>
        <stp>ContractData</stp>
        <stp>HEZ3</stp>
        <stp>Bid</stp>
        <stp/>
        <stp>T</stp>
        <tr r="S9" s="5"/>
      </tp>
      <tp>
        <v>-2.5000000000000001E-2</v>
        <stp/>
        <stp>ContractData</stp>
        <stp>HEM3</stp>
        <stp>NetLastQuoteToday</stp>
        <stp/>
        <stp>T</stp>
        <tr r="U5" s="5"/>
      </tp>
      <tp>
        <v>160.35</v>
        <stp/>
        <stp>ContractData</stp>
        <stp>GFF4</stp>
        <stp>Bid</stp>
        <stp/>
        <stp>T</stp>
        <tr r="AT30" s="2"/>
        <tr r="S9" s="6"/>
        <tr r="R36" s="2"/>
      </tp>
      <tp>
        <v>144.52500000000001</v>
        <stp/>
        <stp>ContractData</stp>
        <stp>GFH3</stp>
        <stp>Bid</stp>
        <stp/>
        <stp>T</stp>
        <tr r="W10" s="2"/>
        <tr r="S2" s="6"/>
        <tr r="B36" s="2"/>
        <tr r="AM30" s="2"/>
      </tp>
      <tp>
        <v>150.69999999999999</v>
        <stp/>
        <stp>ContractData</stp>
        <stp>GFK3</stp>
        <stp>Bid</stp>
        <stp/>
        <stp>T</stp>
        <tr r="G36" s="2"/>
        <tr r="S4" s="6"/>
        <tr r="AO30" s="2"/>
      </tp>
      <tp>
        <v>148.02500000000001</v>
        <stp/>
        <stp>ContractData</stp>
        <stp>GFJ3</stp>
        <stp>Bid</stp>
        <stp/>
        <stp>T</stp>
        <tr r="AN30" s="2"/>
        <tr r="E36" s="2"/>
        <tr r="S3" s="6"/>
      </tp>
      <tp>
        <v>157.07499999999999</v>
        <stp/>
        <stp>ContractData</stp>
        <stp>GFQ3</stp>
        <stp>Bid</stp>
        <stp/>
        <stp>T</stp>
        <tr r="S5" s="6"/>
        <tr r="I36" s="2"/>
        <tr r="AP30" s="2"/>
      </tp>
      <tp>
        <v>158.44999999999999</v>
        <stp/>
        <stp>ContractData</stp>
        <stp>GFU3</stp>
        <stp>Bid</stp>
        <stp/>
        <stp>T</stp>
        <tr r="K36" s="2"/>
        <tr r="AQ30" s="2"/>
        <tr r="S6" s="6"/>
      </tp>
      <tp>
        <v>159.35</v>
        <stp/>
        <stp>ContractData</stp>
        <stp>GFV3</stp>
        <stp>Bid</stp>
        <stp/>
        <stp>T</stp>
        <tr r="AR30" s="2"/>
        <tr r="M36" s="2"/>
        <tr r="S7" s="6"/>
      </tp>
      <tp>
        <v>160.17500000000001</v>
        <stp/>
        <stp>ContractData</stp>
        <stp>GFX3</stp>
        <stp>Bid</stp>
        <stp/>
        <stp>T</stp>
        <tr r="P36" s="2"/>
        <tr r="AS30" s="2"/>
        <tr r="S8" s="6"/>
      </tp>
      <tp>
        <v>148.02500000000001</v>
        <stp/>
        <stp>ContractData</stp>
        <stp>GF?2</stp>
        <stp>Bid</stp>
        <stp/>
        <stp>T</stp>
        <tr r="Y10" s="2"/>
      </tp>
      <tp>
        <v>150.69999999999999</v>
        <stp/>
        <stp>ContractData</stp>
        <stp>GF?3</stp>
        <stp>Bid</stp>
        <stp/>
        <stp>T</stp>
        <tr r="AA10" s="2"/>
      </tp>
      <tp>
        <v>157.07499999999999</v>
        <stp/>
        <stp>ContractData</stp>
        <stp>GF?4</stp>
        <stp>Bid</stp>
        <stp/>
        <stp>T</stp>
        <tr r="AC10" s="2"/>
      </tp>
      <tp>
        <v>158.44999999999999</v>
        <stp/>
        <stp>ContractData</stp>
        <stp>GF?5</stp>
        <stp>Bid</stp>
        <stp/>
        <stp>T</stp>
        <tr r="AE10" s="2"/>
      </tp>
      <tp>
        <v>159.35</v>
        <stp/>
        <stp>ContractData</stp>
        <stp>GF?6</stp>
        <stp>Bid</stp>
        <stp/>
        <stp>T</stp>
        <tr r="AG10" s="2"/>
      </tp>
      <tp>
        <v>160.17500000000001</v>
        <stp/>
        <stp>ContractData</stp>
        <stp>GF?7</stp>
        <stp>Bid</stp>
        <stp/>
        <stp>T</stp>
        <tr r="AI10" s="2"/>
      </tp>
      <tp>
        <v>160.35</v>
        <stp/>
        <stp>ContractData</stp>
        <stp>GF?8</stp>
        <stp>Bid</stp>
        <stp/>
        <stp>T</stp>
        <tr r="AK10" s="2"/>
      </tp>
      <tp>
        <v>160.44999999999999</v>
        <stp/>
        <stp>ContractData</stp>
        <stp>GFX3</stp>
        <stp>Ask</stp>
        <stp/>
        <stp>T</stp>
        <tr r="AS29" s="2"/>
        <tr r="P34" s="2"/>
        <tr r="T8" s="6"/>
      </tp>
      <tp>
        <v>157.17500000000001</v>
        <stp/>
        <stp>ContractData</stp>
        <stp>GFQ3</stp>
        <stp>Ask</stp>
        <stp/>
        <stp>T</stp>
        <tr r="I34" s="2"/>
        <tr r="AP29" s="2"/>
        <tr r="T5" s="6"/>
      </tp>
      <tp>
        <v>159.6</v>
        <stp/>
        <stp>ContractData</stp>
        <stp>GFV3</stp>
        <stp>Ask</stp>
        <stp/>
        <stp>T</stp>
        <tr r="AR29" s="2"/>
        <tr r="M34" s="2"/>
        <tr r="T7" s="6"/>
      </tp>
      <tp>
        <v>158.55000000000001</v>
        <stp/>
        <stp>ContractData</stp>
        <stp>GFU3</stp>
        <stp>Ask</stp>
        <stp/>
        <stp>T</stp>
        <tr r="K34" s="2"/>
        <tr r="AQ29" s="2"/>
        <tr r="T6" s="6"/>
      </tp>
      <tp>
        <v>150.82499999999999</v>
        <stp/>
        <stp>ContractData</stp>
        <stp>GFK3</stp>
        <stp>Ask</stp>
        <stp/>
        <stp>T</stp>
        <tr r="G34" s="2"/>
        <tr r="AO29" s="2"/>
        <tr r="T4" s="6"/>
      </tp>
      <tp>
        <v>148.1</v>
        <stp/>
        <stp>ContractData</stp>
        <stp>GFJ3</stp>
        <stp>Ask</stp>
        <stp/>
        <stp>T</stp>
        <tr r="AN29" s="2"/>
        <tr r="E34" s="2"/>
        <tr r="T3" s="6"/>
      </tp>
      <tp>
        <v>144.57499999999999</v>
        <stp/>
        <stp>ContractData</stp>
        <stp>GFH3</stp>
        <stp>Ask</stp>
        <stp/>
        <stp>T</stp>
        <tr r="B34" s="2"/>
        <tr r="T2" s="6"/>
        <tr r="AM29" s="2"/>
        <tr r="W8" s="2"/>
      </tp>
      <tp>
        <v>160.85</v>
        <stp/>
        <stp>ContractData</stp>
        <stp>GFF4</stp>
        <stp>Ask</stp>
        <stp/>
        <stp>T</stp>
        <tr r="AT29" s="2"/>
        <tr r="R34" s="2"/>
        <tr r="T9" s="6"/>
      </tp>
      <tp>
        <v>160.85</v>
        <stp/>
        <stp>ContractData</stp>
        <stp>GF?8</stp>
        <stp>Ask</stp>
        <stp/>
        <stp>T</stp>
        <tr r="AK8" s="2"/>
      </tp>
      <tp>
        <v>160.44999999999999</v>
        <stp/>
        <stp>ContractData</stp>
        <stp>GF?7</stp>
        <stp>Ask</stp>
        <stp/>
        <stp>T</stp>
        <tr r="AI8" s="2"/>
      </tp>
      <tp>
        <v>159.6</v>
        <stp/>
        <stp>ContractData</stp>
        <stp>GF?6</stp>
        <stp>Ask</stp>
        <stp/>
        <stp>T</stp>
        <tr r="AG8" s="2"/>
      </tp>
      <tp>
        <v>158.55000000000001</v>
        <stp/>
        <stp>ContractData</stp>
        <stp>GF?5</stp>
        <stp>Ask</stp>
        <stp/>
        <stp>T</stp>
        <tr r="AE8" s="2"/>
      </tp>
      <tp>
        <v>157.17500000000001</v>
        <stp/>
        <stp>ContractData</stp>
        <stp>GF?4</stp>
        <stp>Ask</stp>
        <stp/>
        <stp>T</stp>
        <tr r="AC8" s="2"/>
      </tp>
      <tp>
        <v>150.82499999999999</v>
        <stp/>
        <stp>ContractData</stp>
        <stp>GF?3</stp>
        <stp>Ask</stp>
        <stp/>
        <stp>T</stp>
        <tr r="AA8" s="2"/>
      </tp>
      <tp>
        <v>148.1</v>
        <stp/>
        <stp>ContractData</stp>
        <stp>GF?2</stp>
        <stp>Ask</stp>
        <stp/>
        <stp>T</stp>
        <tr r="Y8" s="2"/>
      </tp>
      <tp>
        <v>0.17499999999999999</v>
        <stp/>
        <stp>ContractData</stp>
        <stp>GLEJ3</stp>
        <stp>NetLastQuoteToday</stp>
        <stp/>
        <stp>T</stp>
        <tr r="U3" s="3"/>
      </tp>
      <tp>
        <v>-0.25</v>
        <stp/>
        <stp>ContractData</stp>
        <stp>GLEJ4</stp>
        <stp>NetLastQuoteToday</stp>
        <stp/>
        <stp>T</stp>
        <tr r="U9" s="3"/>
      </tp>
      <tp t="s">
        <v>Live Cattle (Globex): February 2014</v>
        <stp/>
        <stp>ContractData</stp>
        <stp>GLEG4</stp>
        <stp>LongDescription</stp>
        <tr r="O7" s="2"/>
      </tp>
      <tp>
        <v>14</v>
        <stp/>
        <stp>ContractData</stp>
        <stp>GLEG3</stp>
        <stp>MT_LastASKVolume</stp>
        <tr r="B8" s="2"/>
      </tp>
      <tp>
        <v>130.4</v>
        <stp/>
        <stp>ContractData</stp>
        <stp>GLEV3</stp>
        <stp>LastTradeorSettle</stp>
        <stp/>
        <stp>T</stp>
        <tr r="R6" s="3"/>
      </tp>
      <tp>
        <v>126.45</v>
        <stp/>
        <stp>ContractData</stp>
        <stp>GLEQ3</stp>
        <stp>LastTradeorSettle</stp>
        <stp/>
        <stp>T</stp>
        <tr r="R5" s="3"/>
      </tp>
      <tp>
        <v>-1.65</v>
        <stp/>
        <stp>ContractData</stp>
        <stp>GFF4</stp>
        <stp>NetLastQuoteToday</stp>
        <stp/>
        <stp>T</stp>
        <tr r="U9" s="6"/>
      </tp>
      <tp>
        <v>160.75</v>
        <stp/>
        <stp>ContractData</stp>
        <stp>GFX3</stp>
        <stp>LastTradeorSettle</stp>
        <stp/>
        <stp>T</stp>
        <tr r="R8" s="6"/>
      </tp>
      <tp>
        <v>4</v>
        <stp/>
        <stp>ContractData</stp>
        <stp>F.HE?8</stp>
        <stp>MT_LastAskVolume</stp>
        <tr r="AH36" s="2"/>
      </tp>
      <tp>
        <v>1</v>
        <stp/>
        <stp>ContractData</stp>
        <stp>F.HE?9</stp>
        <stp>MT_LastAskVolume</stp>
        <tr r="AJ36" s="2"/>
      </tp>
      <tp>
        <v>16</v>
        <stp/>
        <stp>ContractData</stp>
        <stp>F.HE?6</stp>
        <stp>MT_LastAskVolume</stp>
        <tr r="AD36" s="2"/>
      </tp>
      <tp>
        <v>10</v>
        <stp/>
        <stp>ContractData</stp>
        <stp>F.HE?7</stp>
        <stp>MT_LastAskVolume</stp>
        <tr r="AF36" s="2"/>
      </tp>
      <tp>
        <v>19</v>
        <stp/>
        <stp>ContractData</stp>
        <stp>F.HE?4</stp>
        <stp>MT_LastAskVolume</stp>
        <tr r="Z36" s="2"/>
      </tp>
      <tp>
        <v>4</v>
        <stp/>
        <stp>ContractData</stp>
        <stp>F.HE?5</stp>
        <stp>MT_LastAskVolume</stp>
        <tr r="AB36" s="2"/>
      </tp>
      <tp>
        <v>12</v>
        <stp/>
        <stp>ContractData</stp>
        <stp>F.HE?2</stp>
        <stp>MT_LastAskVolume</stp>
        <tr r="V36" s="2"/>
      </tp>
      <tp>
        <v>1</v>
        <stp/>
        <stp>ContractData</stp>
        <stp>F.HE?3</stp>
        <stp>MT_LastAskVolume</stp>
        <tr r="X36" s="2"/>
      </tp>
      <tp>
        <v>10</v>
        <stp/>
        <stp>ContractData</stp>
        <stp>F.HE?1</stp>
        <stp>MT_LastAskVolume</stp>
        <tr r="T36" s="2"/>
      </tp>
      <tp>
        <v>-0.4</v>
        <stp/>
        <stp>ContractData</stp>
        <stp>HEG4</stp>
        <stp>NetLastQuoteToday</stp>
        <stp/>
        <stp>T</stp>
        <tr r="U10" s="5"/>
      </tp>
      <tp>
        <v>7.4999999999999997E-2</v>
        <stp/>
        <stp>ContractData</stp>
        <stp>HEG3</stp>
        <stp>NetLastQuoteToday</stp>
        <stp/>
        <stp>T</stp>
        <tr r="U2" s="5"/>
      </tp>
      <tp>
        <v>7</v>
        <stp/>
        <stp>ContractData</stp>
        <stp>GFH3</stp>
        <stp>MT_LastASKVolume</stp>
        <tr r="V8" s="2"/>
      </tp>
      <tp>
        <v>0.125</v>
        <stp/>
        <stp>ContractData</stp>
        <stp>GLEM3</stp>
        <stp>NetLastQuoteToday</stp>
        <stp/>
        <stp>T</stp>
        <tr r="U4" s="3"/>
      </tp>
      <tp>
        <v>-1.5</v>
        <stp/>
        <stp>ContractData</stp>
        <stp>GLEM4</stp>
        <stp>NetLastQuoteToday</stp>
        <stp/>
        <stp>T</stp>
        <tr r="U10" s="3"/>
      </tp>
      <tp>
        <v>81.8</v>
        <stp/>
        <stp>ContractData</stp>
        <stp>HEZ3</stp>
        <stp>LastTradeorSettle</stp>
        <stp/>
        <stp>T</stp>
        <tr r="R9" s="5"/>
      </tp>
      <tp t="s">
        <v/>
        <stp/>
        <stp>ContractData</stp>
        <stp>GLEM4</stp>
        <stp>LastTradeorSettle</stp>
        <stp/>
        <stp>T</stp>
        <tr r="R10" s="3"/>
      </tp>
      <tp>
        <v>125.825</v>
        <stp/>
        <stp>ContractData</stp>
        <stp>GLEM3</stp>
        <stp>LastTradeorSettle</stp>
        <stp/>
        <stp>T</stp>
        <tr r="R4" s="3"/>
      </tp>
      <tp>
        <v>-0.47499999999999998</v>
        <stp/>
        <stp>ContractData</stp>
        <stp>HEZ3</stp>
        <stp>NetLastQuoteToday</stp>
        <stp/>
        <stp>T</stp>
        <tr r="U9" s="5"/>
      </tp>
      <tp t="s">
        <v>295: F.HES9G could not be resolved.</v>
        <stp/>
        <stp>ContractData</stp>
        <stp>F.HES9G</stp>
        <stp>Ask</stp>
        <stp/>
        <stp>T</stp>
        <tr r="Z10" s="5"/>
      </tp>
      <tp>
        <v>3.5249999999999999</v>
        <stp/>
        <stp>ContractData</stp>
        <stp>F.HES8G</stp>
        <stp>Ask</stp>
        <stp/>
        <stp>T</stp>
        <tr r="Z9" s="5"/>
      </tp>
      <tp>
        <v>0.22500000000000001</v>
        <stp/>
        <stp>ContractData</stp>
        <stp>F.HES1G</stp>
        <stp>Ask</stp>
        <stp/>
        <stp>T</stp>
        <tr r="Z2" s="5"/>
      </tp>
      <tp>
        <v>-7.9</v>
        <stp/>
        <stp>ContractData</stp>
        <stp>F.HES3G</stp>
        <stp>Ask</stp>
        <stp/>
        <stp>T</stp>
        <tr r="Z4" s="5"/>
      </tp>
      <tp>
        <v>-6.6749999999999998</v>
        <stp/>
        <stp>ContractData</stp>
        <stp>F.HES2G</stp>
        <stp>Ask</stp>
        <stp/>
        <stp>T</stp>
        <tr r="Z3" s="5"/>
      </tp>
      <tp>
        <v>-7.2249999999999996</v>
        <stp/>
        <stp>ContractData</stp>
        <stp>F.HES5G</stp>
        <stp>Ask</stp>
        <stp/>
        <stp>T</stp>
        <tr r="Z6" s="5"/>
      </tp>
      <tp>
        <v>-7.5</v>
        <stp/>
        <stp>ContractData</stp>
        <stp>F.HES4G</stp>
        <stp>Ask</stp>
        <stp/>
        <stp>T</stp>
        <tr r="Z5" s="5"/>
      </tp>
      <tp>
        <v>4.95</v>
        <stp/>
        <stp>ContractData</stp>
        <stp>F.HES7G</stp>
        <stp>Ask</stp>
        <stp/>
        <stp>T</stp>
        <tr r="Z8" s="5"/>
      </tp>
      <tp>
        <v>1.75</v>
        <stp/>
        <stp>ContractData</stp>
        <stp>F.HES6G</stp>
        <stp>Ask</stp>
        <stp/>
        <stp>T</stp>
        <tr r="Z7" s="5"/>
      </tp>
      <tp>
        <v>-8</v>
        <stp/>
        <stp>ContractData</stp>
        <stp>F.HES3G</stp>
        <stp>Bid</stp>
        <stp/>
        <stp>T</stp>
        <tr r="Y4" s="5"/>
      </tp>
      <tp>
        <v>-6.9749999999999996</v>
        <stp/>
        <stp>ContractData</stp>
        <stp>F.HES2G</stp>
        <stp>Bid</stp>
        <stp/>
        <stp>T</stp>
        <tr r="Y3" s="5"/>
      </tp>
      <tp>
        <v>0.17499999999999999</v>
        <stp/>
        <stp>ContractData</stp>
        <stp>F.HES1G</stp>
        <stp>Bid</stp>
        <stp/>
        <stp>T</stp>
        <tr r="Y2" s="5"/>
      </tp>
      <tp>
        <v>4.7750000000000004</v>
        <stp/>
        <stp>ContractData</stp>
        <stp>F.HES7G</stp>
        <stp>Bid</stp>
        <stp/>
        <stp>T</stp>
        <tr r="Y8" s="5"/>
      </tp>
      <tp>
        <v>1.55</v>
        <stp/>
        <stp>ContractData</stp>
        <stp>F.HES6G</stp>
        <stp>Bid</stp>
        <stp/>
        <stp>T</stp>
        <tr r="Y7" s="5"/>
      </tp>
      <tp>
        <v>-7.375</v>
        <stp/>
        <stp>ContractData</stp>
        <stp>F.HES5G</stp>
        <stp>Bid</stp>
        <stp/>
        <stp>T</stp>
        <tr r="Y6" s="5"/>
      </tp>
      <tp>
        <v>-7.6</v>
        <stp/>
        <stp>ContractData</stp>
        <stp>F.HES4G</stp>
        <stp>Bid</stp>
        <stp/>
        <stp>T</stp>
        <tr r="Y5" s="5"/>
      </tp>
      <tp t="s">
        <v>295: F.HES9G could not be resolved.</v>
        <stp/>
        <stp>ContractData</stp>
        <stp>F.HES9G</stp>
        <stp>Bid</stp>
        <stp/>
        <stp>T</stp>
        <tr r="Y10" s="5"/>
      </tp>
      <tp>
        <v>3.2250000000000001</v>
        <stp/>
        <stp>ContractData</stp>
        <stp>F.HES8G</stp>
        <stp>Bid</stp>
        <stp/>
        <stp>T</stp>
        <tr r="Y9" s="5"/>
      </tp>
      <tp>
        <v>-0.05</v>
        <stp/>
        <stp>ContractData</stp>
        <stp>GLEQ3</stp>
        <stp>NetLastQuoteToday</stp>
        <stp/>
        <stp>T</stp>
        <tr r="U5" s="3"/>
      </tp>
      <tp t="s">
        <v>295: F.GFS8H could not be resolved.</v>
        <stp/>
        <stp>ContractData</stp>
        <stp>F.GFS8H</stp>
        <stp>Ask</stp>
        <stp/>
        <stp>T</stp>
        <tr r="Z9" s="6"/>
      </tp>
      <tp>
        <v>-3.4750000000000001</v>
        <stp/>
        <stp>ContractData</stp>
        <stp>F.GFS1H</stp>
        <stp>Ask</stp>
        <stp/>
        <stp>T</stp>
        <tr r="Z2" s="6"/>
      </tp>
      <tp>
        <v>-12.525</v>
        <stp/>
        <stp>ContractData</stp>
        <stp>F.GFS3H</stp>
        <stp>Ask</stp>
        <stp/>
        <stp>T</stp>
        <tr r="Z4" s="6"/>
      </tp>
      <tp>
        <v>-6.1749999999999998</v>
        <stp/>
        <stp>ContractData</stp>
        <stp>F.GFS2H</stp>
        <stp>Ask</stp>
        <stp/>
        <stp>T</stp>
        <tr r="Z3" s="6"/>
      </tp>
      <tp>
        <v>-14.7</v>
        <stp/>
        <stp>ContractData</stp>
        <stp>F.GFS5H</stp>
        <stp>Ask</stp>
        <stp/>
        <stp>T</stp>
        <tr r="Z6" s="6"/>
      </tp>
      <tp>
        <v>-13.875</v>
        <stp/>
        <stp>ContractData</stp>
        <stp>F.GFS4H</stp>
        <stp>Ask</stp>
        <stp/>
        <stp>T</stp>
        <tr r="Z5" s="6"/>
      </tp>
      <tp t="s">
        <v/>
        <stp/>
        <stp>ContractData</stp>
        <stp>F.GFS7H</stp>
        <stp>Ask</stp>
        <stp/>
        <stp>T</stp>
        <tr r="Z8" s="6"/>
      </tp>
      <tp>
        <v>-15.525</v>
        <stp/>
        <stp>ContractData</stp>
        <stp>F.GFS6H</stp>
        <stp>Ask</stp>
        <stp/>
        <stp>T</stp>
        <tr r="Z7" s="6"/>
      </tp>
      <tp>
        <v>-12.65</v>
        <stp/>
        <stp>ContractData</stp>
        <stp>F.GFS3H</stp>
        <stp>Bid</stp>
        <stp/>
        <stp>T</stp>
        <tr r="Y4" s="6"/>
      </tp>
      <tp>
        <v>-6.2750000000000004</v>
        <stp/>
        <stp>ContractData</stp>
        <stp>F.GFS2H</stp>
        <stp>Bid</stp>
        <stp/>
        <stp>T</stp>
        <tr r="Y3" s="6"/>
      </tp>
      <tp>
        <v>-3.55</v>
        <stp/>
        <stp>ContractData</stp>
        <stp>F.GFS1H</stp>
        <stp>Bid</stp>
        <stp/>
        <stp>T</stp>
        <tr r="Y2" s="6"/>
      </tp>
      <tp>
        <v>-17.524999999999999</v>
        <stp/>
        <stp>ContractData</stp>
        <stp>F.GFS7H</stp>
        <stp>Bid</stp>
        <stp/>
        <stp>T</stp>
        <tr r="Y8" s="6"/>
      </tp>
      <tp>
        <v>-15.925000000000001</v>
        <stp/>
        <stp>ContractData</stp>
        <stp>F.GFS6H</stp>
        <stp>Bid</stp>
        <stp/>
        <stp>T</stp>
        <tr r="Y7" s="6"/>
      </tp>
      <tp>
        <v>-15.05</v>
        <stp/>
        <stp>ContractData</stp>
        <stp>F.GFS5H</stp>
        <stp>Bid</stp>
        <stp/>
        <stp>T</stp>
        <tr r="Y6" s="6"/>
      </tp>
      <tp>
        <v>-14.025</v>
        <stp/>
        <stp>ContractData</stp>
        <stp>F.GFS4H</stp>
        <stp>Bid</stp>
        <stp/>
        <stp>T</stp>
        <tr r="Y5" s="6"/>
      </tp>
      <tp t="s">
        <v>295: F.GFS8H could not be resolved.</v>
        <stp/>
        <stp>ContractData</stp>
        <stp>F.GFS8H</stp>
        <stp>Bid</stp>
        <stp/>
        <stp>T</stp>
        <tr r="Y9" s="6"/>
      </tp>
      <tp>
        <v>161</v>
        <stp/>
        <stp>ContractData</stp>
        <stp>GFF4</stp>
        <stp>LastTradeorSettle</stp>
        <stp/>
        <stp>T</stp>
        <tr r="R9" s="6"/>
      </tp>
      <tp>
        <v>2.5000000000000001E-2</v>
        <stp/>
        <stp>ContractData</stp>
        <stp>GFX3</stp>
        <stp>NetLastQuoteToday</stp>
        <stp/>
        <stp>T</stp>
        <tr r="U8" s="6"/>
      </tp>
      <tp>
        <v>86.525000000000006</v>
        <stp/>
        <stp>ContractData</stp>
        <stp>HEG3</stp>
        <stp>LastTradeorSettle</stp>
        <stp/>
        <stp>T</stp>
        <tr r="R2" s="5"/>
      </tp>
      <tp>
        <v>83.3</v>
        <stp/>
        <stp>ContractData</stp>
        <stp>HEG4</stp>
        <stp>LastTradeorSettle</stp>
        <stp/>
        <stp>T</stp>
        <tr r="R10" s="5"/>
      </tp>
      <tp>
        <v>0.1</v>
        <stp/>
        <stp>ContractData</stp>
        <stp>GLEV3</stp>
        <stp>NetLastQuoteToday</stp>
        <stp/>
        <stp>T</stp>
        <tr r="U6" s="3"/>
      </tp>
      <tp>
        <v>134.25</v>
        <stp/>
        <stp>ContractData</stp>
        <stp>GLEJ4</stp>
        <stp>LastTradeorSettle</stp>
        <stp/>
        <stp>T</stp>
        <tr r="R9" s="3"/>
      </tp>
      <tp>
        <v>130.30000000000001</v>
        <stp/>
        <stp>ContractData</stp>
        <stp>GLEJ3</stp>
        <stp>LastTradeorSettle</stp>
        <stp/>
        <stp>T</stp>
        <tr r="R3" s="3"/>
      </tp>
      <tp>
        <v>81.625</v>
        <stp/>
        <stp>ContractData</stp>
        <stp>F.HE?8</stp>
        <stp>Bid</stp>
        <stp/>
        <stp>T</stp>
        <tr r="AI37" s="2"/>
      </tp>
      <tp>
        <v>83.1</v>
        <stp/>
        <stp>ContractData</stp>
        <stp>F.HE?9</stp>
        <stp>Bid</stp>
        <stp/>
        <stp>T</stp>
        <tr r="AK37" s="2"/>
      </tp>
      <tp>
        <v>86.325000000000003</v>
        <stp/>
        <stp>ContractData</stp>
        <stp>F.HE?2</stp>
        <stp>Bid</stp>
        <stp/>
        <stp>T</stp>
        <tr r="W37" s="2"/>
      </tp>
      <tp>
        <v>93.25</v>
        <stp/>
        <stp>ContractData</stp>
        <stp>F.HE?3</stp>
        <stp>Bid</stp>
        <stp/>
        <stp>T</stp>
        <tr r="Y37" s="2"/>
      </tp>
      <tp>
        <v>86.525000000000006</v>
        <stp/>
        <stp>ContractData</stp>
        <stp>F.HE?1</stp>
        <stp>Bid</stp>
        <stp/>
        <stp>T</stp>
        <tr r="U37" s="2"/>
      </tp>
      <tp>
        <v>93.825000000000003</v>
        <stp/>
        <stp>ContractData</stp>
        <stp>F.HE?6</stp>
        <stp>Bid</stp>
        <stp/>
        <stp>T</stp>
        <tr r="AE37" s="2"/>
      </tp>
      <tp>
        <v>84.825000000000003</v>
        <stp/>
        <stp>ContractData</stp>
        <stp>F.HE?7</stp>
        <stp>Bid</stp>
        <stp/>
        <stp>T</stp>
        <tr r="AG37" s="2"/>
      </tp>
      <tp>
        <v>94.474999999999994</v>
        <stp/>
        <stp>ContractData</stp>
        <stp>F.HE?4</stp>
        <stp>Bid</stp>
        <stp/>
        <stp>T</stp>
        <tr r="AA37" s="2"/>
      </tp>
      <tp>
        <v>94.1</v>
        <stp/>
        <stp>ContractData</stp>
        <stp>F.HE?5</stp>
        <stp>Bid</stp>
        <stp/>
        <stp>T</stp>
        <tr r="AC37" s="2"/>
      </tp>
      <tp>
        <v>0.3</v>
        <stp/>
        <stp>ContractData</stp>
        <stp>GLEZ3</stp>
        <stp>NetLastQuoteToday</stp>
        <stp/>
        <stp>T</stp>
        <tr r="U7" s="3"/>
      </tp>
      <tp>
        <v>94.525000000000006</v>
        <stp/>
        <stp>ContractData</stp>
        <stp>HEM3</stp>
        <stp>LastTradeorSettle</stp>
        <stp/>
        <stp>T</stp>
        <tr r="R5" s="5"/>
      </tp>
      <tp>
        <v>91.7</v>
        <stp/>
        <stp>ContractData</stp>
        <stp>HEM4</stp>
        <stp>LastTradeorSettle</stp>
        <stp/>
        <stp>T</stp>
        <tr r="R13" s="5"/>
      </tp>
      <tp>
        <v>133</v>
        <stp/>
        <stp>ContractData</stp>
        <stp>GLEG4</stp>
        <stp>LastTradeorSettle</stp>
        <stp/>
        <stp>T</stp>
        <tr r="O11" s="2"/>
        <tr r="R8" s="3"/>
      </tp>
      <tp>
        <v>126.925</v>
        <stp/>
        <stp>ContractData</stp>
        <stp>GLEG3</stp>
        <stp>LastTradeorSettle</stp>
        <stp/>
        <stp>T</stp>
        <tr r="R2" s="3"/>
      </tp>
      <tp>
        <v>94.1</v>
        <stp/>
        <stp>ContractData</stp>
        <stp>HEN3</stp>
        <stp>LastTradeorSettle</stp>
        <stp/>
        <stp>T</stp>
        <tr r="R6" s="5"/>
      </tp>
      <tp>
        <v>0.45</v>
        <stp/>
        <stp>ContractData</stp>
        <stp>GFQ3</stp>
        <stp>NetLastQuoteToday</stp>
        <stp/>
        <stp>T</stp>
        <tr r="U5" s="6"/>
      </tp>
      <tp>
        <v>-0.17499999999999999</v>
        <stp/>
        <stp>ContractData</stp>
        <stp>HEQ3</stp>
        <stp>NetLastQuoteToday</stp>
        <stp/>
        <stp>T</stp>
        <tr r="U7" s="5"/>
      </tp>
      <tp>
        <v>144.52500000000001</v>
        <stp/>
        <stp>ContractData</stp>
        <stp>GFH3</stp>
        <stp>LastTradeorSettle</stp>
        <stp/>
        <stp>T</stp>
        <tr r="R2" s="6"/>
      </tp>
      <tp>
        <v>0.5</v>
        <stp/>
        <stp>ContractData</stp>
        <stp>GFV3</stp>
        <stp>NetLastQuoteToday</stp>
        <stp/>
        <stp>T</stp>
        <tr r="U7" s="6"/>
      </tp>
      <tp>
        <v>-0.55000000000000004</v>
        <stp/>
        <stp>ContractData</stp>
        <stp>HEV3</stp>
        <stp>NetLastQuoteToday</stp>
        <stp/>
        <stp>T</stp>
        <tr r="U8" s="5"/>
      </tp>
      <tp t="s">
        <v>295: F.GLES7G could not be resolved.</v>
        <stp/>
        <stp>ContractData</stp>
        <stp>F.GLES7G</stp>
        <stp>LongDescription</stp>
        <tr r="AI8" s="3"/>
      </tp>
      <tp t="s">
        <v>Live Cattle (Globex) Cal. Spread 6: February 2013</v>
        <stp/>
        <stp>ContractData</stp>
        <stp>F.GLES6G</stp>
        <stp>LongDescription</stp>
        <tr r="AI7" s="3"/>
      </tp>
      <tp t="s">
        <v>Live Cattle (Globex) Cal. Spread 5: February 2013</v>
        <stp/>
        <stp>ContractData</stp>
        <stp>F.GLES5G</stp>
        <stp>LongDescription</stp>
        <tr r="AI6" s="3"/>
      </tp>
      <tp t="s">
        <v>Live Cattle (Globex) Cal. Spread 4: February 2013</v>
        <stp/>
        <stp>ContractData</stp>
        <stp>F.GLES4G</stp>
        <stp>LongDescription</stp>
        <tr r="AI5" s="3"/>
      </tp>
      <tp t="s">
        <v>Live Cattle (Globex) Cal. Spread 3: February 2013</v>
        <stp/>
        <stp>ContractData</stp>
        <stp>F.GLES3G</stp>
        <stp>LongDescription</stp>
        <tr r="AI4" s="3"/>
      </tp>
      <tp t="s">
        <v>Live Cattle (Globex) Cal. Spread 2: February 2013</v>
        <stp/>
        <stp>ContractData</stp>
        <stp>F.GLES2G</stp>
        <stp>LongDescription</stp>
        <tr r="AI3" s="3"/>
      </tp>
      <tp t="s">
        <v>Live Cattle (Globex) Cal. Spread 1: February 2013</v>
        <stp/>
        <stp>ContractData</stp>
        <stp>F.GLES1G</stp>
        <stp>LongDescription</stp>
        <tr r="AI2" s="3"/>
      </tp>
      <tp t="s">
        <v>295: F.GLES9G could not be resolved.</v>
        <stp/>
        <stp>ContractData</stp>
        <stp>F.GLES9G</stp>
        <stp>LongDescription</stp>
        <tr r="AI10" s="3"/>
      </tp>
      <tp t="s">
        <v>295: F.GLES8G could not be resolved.</v>
        <stp/>
        <stp>ContractData</stp>
        <stp>F.GLES8G</stp>
        <stp>LongDescription</stp>
        <tr r="AI9" s="3"/>
      </tp>
      <tp>
        <v>148.02500000000001</v>
        <stp/>
        <stp>ContractData</stp>
        <stp>GFJ3</stp>
        <stp>LastTradeorSettle</stp>
        <stp/>
        <stp>T</stp>
        <tr r="R3" s="6"/>
      </tp>
      <tp>
        <v>86.325000000000003</v>
        <stp/>
        <stp>ContractData</stp>
        <stp>HEJ3</stp>
        <stp>LastTradeorSettle</stp>
        <stp/>
        <stp>T</stp>
        <tr r="R3" s="5"/>
      </tp>
      <tp>
        <v>84.724999999999994</v>
        <stp/>
        <stp>ContractData</stp>
        <stp>HEJ4</stp>
        <stp>LastTradeorSettle</stp>
        <stp/>
        <stp>T</stp>
        <tr r="R11" s="5"/>
      </tp>
      <tp t="s">
        <v>295: 0 could not be resolved.</v>
        <stp/>
        <stp>ContractData</stp>
        <stp>0</stp>
        <stp>ContractMonth</stp>
        <tr r="B12" s="6"/>
        <tr r="B13" s="6"/>
        <tr r="B11" s="6"/>
        <tr r="B10" s="6"/>
      </tp>
      <tp>
        <v>150.69999999999999</v>
        <stp/>
        <stp>ContractData</stp>
        <stp>GFK3</stp>
        <stp>LastTradeorSettle</stp>
        <stp/>
        <stp>T</stp>
        <tr r="R4" s="6"/>
      </tp>
      <tp>
        <v>93.2</v>
        <stp/>
        <stp>ContractData</stp>
        <stp>HEK3</stp>
        <stp>LastTradeorSettle</stp>
        <stp/>
        <stp>T</stp>
        <tr r="R4" s="5"/>
      </tp>
      <tp t="s">
        <v/>
        <stp/>
        <stp>ContractData</stp>
        <stp>HEK4</stp>
        <stp>LastTradeorSettle</stp>
        <stp/>
        <stp>T</stp>
        <tr r="R12" s="5"/>
      </tp>
      <tp>
        <v>0.65</v>
        <stp/>
        <stp>ContractData</stp>
        <stp>GFU3</stp>
        <stp>NetLastQuoteToday</stp>
        <stp/>
        <stp>T</stp>
        <tr r="U6" s="6"/>
      </tp>
      <tp>
        <v>1.65</v>
        <stp/>
        <stp>ContractData</stp>
        <stp>F.HES6G</stp>
        <stp>LastTradeorSettle</stp>
        <stp/>
        <stp>T</stp>
        <tr r="W7" s="5"/>
      </tp>
      <tp>
        <v>-15.75</v>
        <stp/>
        <stp>ContractData</stp>
        <stp>F.GFS6H</stp>
        <stp>LastTradeorSettle</stp>
        <stp/>
        <stp>T</stp>
        <tr r="W7" s="6"/>
      </tp>
      <tp t="s">
        <v/>
        <stp/>
        <stp>ContractData</stp>
        <stp>F.HES7G</stp>
        <stp>LastTradeorSettle</stp>
        <stp/>
        <stp>T</stp>
        <tr r="W8" s="5"/>
      </tp>
      <tp>
        <v>-15.975</v>
        <stp/>
        <stp>ContractData</stp>
        <stp>F.GFS7H</stp>
        <stp>LastTradeorSettle</stp>
        <stp/>
        <stp>T</stp>
        <tr r="W8" s="6"/>
      </tp>
      <tp>
        <v>134.25</v>
        <stp/>
        <stp>ContractData</stp>
        <stp>GLE?8</stp>
        <stp>LastTradeorSettle</stp>
        <stp/>
        <stp>T</stp>
        <tr r="R11" s="2"/>
      </tp>
      <tp t="s">
        <v/>
        <stp/>
        <stp>ContractData</stp>
        <stp>GLE?9</stp>
        <stp>LastTradeorSettle</stp>
        <stp/>
        <stp>T</stp>
        <tr r="T11" s="2"/>
      </tp>
      <tp>
        <v>132.17500000000001</v>
        <stp/>
        <stp>ContractData</stp>
        <stp>GLE?6</stp>
        <stp>LastTradeorSettle</stp>
        <stp/>
        <stp>T</stp>
        <tr r="M11" s="2"/>
      </tp>
      <tp>
        <v>133</v>
        <stp/>
        <stp>ContractData</stp>
        <stp>GLE?7</stp>
        <stp>LastTradeorSettle</stp>
        <stp/>
        <stp>T</stp>
        <tr r="P11" s="2"/>
      </tp>
      <tp>
        <v>126.45</v>
        <stp/>
        <stp>ContractData</stp>
        <stp>GLE?4</stp>
        <stp>LastTradeorSettle</stp>
        <stp/>
        <stp>T</stp>
        <tr r="I11" s="2"/>
      </tp>
      <tp>
        <v>130.4</v>
        <stp/>
        <stp>ContractData</stp>
        <stp>GLE?5</stp>
        <stp>LastTradeorSettle</stp>
        <stp/>
        <stp>T</stp>
        <tr r="K11" s="2"/>
      </tp>
      <tp>
        <v>130.30000000000001</v>
        <stp/>
        <stp>ContractData</stp>
        <stp>GLE?2</stp>
        <stp>LastTradeorSettle</stp>
        <stp/>
        <stp>T</stp>
        <tr r="E11" s="2"/>
      </tp>
      <tp>
        <v>125.825</v>
        <stp/>
        <stp>ContractData</stp>
        <stp>GLE?3</stp>
        <stp>LastTradeorSettle</stp>
        <stp/>
        <stp>T</stp>
        <tr r="G11" s="2"/>
      </tp>
      <tp>
        <v>126.925</v>
        <stp/>
        <stp>ContractData</stp>
        <stp>GLE?1</stp>
        <stp>LastTradeorSettle</stp>
        <stp/>
        <stp>T</stp>
        <tr r="B11" s="2"/>
      </tp>
      <tp t="s">
        <v/>
        <stp/>
        <stp>ContractData</stp>
        <stp>F.HES4G</stp>
        <stp>LastTradeorSettle</stp>
        <stp/>
        <stp>T</stp>
        <tr r="W5" s="5"/>
      </tp>
      <tp>
        <v>-14.025</v>
        <stp/>
        <stp>ContractData</stp>
        <stp>F.GFS4H</stp>
        <stp>LastTradeorSettle</stp>
        <stp/>
        <stp>T</stp>
        <tr r="W5" s="6"/>
      </tp>
      <tp t="s">
        <v/>
        <stp/>
        <stp>ContractData</stp>
        <stp>F.HES5G</stp>
        <stp>LastTradeorSettle</stp>
        <stp/>
        <stp>T</stp>
        <tr r="W6" s="5"/>
      </tp>
      <tp>
        <v>-15.025</v>
        <stp/>
        <stp>ContractData</stp>
        <stp>F.GFS5H</stp>
        <stp>LastTradeorSettle</stp>
        <stp/>
        <stp>T</stp>
        <tr r="W6" s="6"/>
      </tp>
      <tp>
        <v>-6.5750000000000002</v>
        <stp/>
        <stp>ContractData</stp>
        <stp>F.HES2G</stp>
        <stp>LastTradeorSettle</stp>
        <stp/>
        <stp>T</stp>
        <tr r="W3" s="5"/>
      </tp>
      <tp>
        <v>-6.1749999999999998</v>
        <stp/>
        <stp>ContractData</stp>
        <stp>F.GFS2H</stp>
        <stp>LastTradeorSettle</stp>
        <stp/>
        <stp>T</stp>
        <tr r="W3" s="6"/>
      </tp>
      <tp t="s">
        <v>295: 0 could not be resolved.</v>
        <stp/>
        <stp>ContractData</stp>
        <stp>0</stp>
        <stp>Settlement</stp>
        <stp/>
        <stp>T</stp>
        <tr r="AQ65" s="2"/>
      </tp>
      <tp>
        <v>-7.9</v>
        <stp/>
        <stp>ContractData</stp>
        <stp>F.HES3G</stp>
        <stp>LastTradeorSettle</stp>
        <stp/>
        <stp>T</stp>
        <tr r="W4" s="5"/>
      </tp>
      <tp>
        <v>-12.625</v>
        <stp/>
        <stp>ContractData</stp>
        <stp>F.GFS3H</stp>
        <stp>LastTradeorSettle</stp>
        <stp/>
        <stp>T</stp>
        <tr r="W4" s="6"/>
      </tp>
      <tp>
        <v>0.2</v>
        <stp/>
        <stp>ContractData</stp>
        <stp>F.HES1G</stp>
        <stp>LastTradeorSettle</stp>
        <stp/>
        <stp>T</stp>
        <tr r="W2" s="5"/>
      </tp>
      <tp>
        <v>-3.55</v>
        <stp/>
        <stp>ContractData</stp>
        <stp>F.GFS1H</stp>
        <stp>LastTradeorSettle</stp>
        <stp/>
        <stp>T</stp>
        <tr r="W2" s="6"/>
      </tp>
      <tp>
        <v>144.52500000000001</v>
        <stp/>
        <stp>ContractData</stp>
        <stp>GF?1</stp>
        <stp>LastTradeorSettle</stp>
        <stp/>
        <stp>T</stp>
        <tr r="V11" s="2"/>
      </tp>
      <tp>
        <v>150.69999999999999</v>
        <stp/>
        <stp>ContractData</stp>
        <stp>GF?3</stp>
        <stp>LastTradeorSettle</stp>
        <stp/>
        <stp>T</stp>
        <tr r="Z11" s="2"/>
      </tp>
      <tp>
        <v>148.02500000000001</v>
        <stp/>
        <stp>ContractData</stp>
        <stp>GF?2</stp>
        <stp>LastTradeorSettle</stp>
        <stp/>
        <stp>T</stp>
        <tr r="X11" s="2"/>
      </tp>
      <tp>
        <v>158.47499999999999</v>
        <stp/>
        <stp>ContractData</stp>
        <stp>GF?5</stp>
        <stp>LastTradeorSettle</stp>
        <stp/>
        <stp>T</stp>
        <tr r="AD11" s="2"/>
      </tp>
      <tp>
        <v>157.15</v>
        <stp/>
        <stp>ContractData</stp>
        <stp>GF?4</stp>
        <stp>LastTradeorSettle</stp>
        <stp/>
        <stp>T</stp>
        <tr r="AB11" s="2"/>
      </tp>
      <tp>
        <v>160.75</v>
        <stp/>
        <stp>ContractData</stp>
        <stp>GF?7</stp>
        <stp>LastTradeorSettle</stp>
        <stp/>
        <stp>T</stp>
        <tr r="AH11" s="2"/>
      </tp>
      <tp>
        <v>160.1</v>
        <stp/>
        <stp>ContractData</stp>
        <stp>GF?6</stp>
        <stp>LastTradeorSettle</stp>
        <stp/>
        <stp>T</stp>
        <tr r="AF11" s="2"/>
      </tp>
      <tp>
        <v>161</v>
        <stp/>
        <stp>ContractData</stp>
        <stp>GF?8</stp>
        <stp>LastTradeorSettle</stp>
        <stp/>
        <stp>T</stp>
        <tr r="AJ11" s="2"/>
      </tp>
      <tp>
        <v>2997</v>
        <stp/>
        <stp>ContractData</stp>
        <stp>GLEG3</stp>
        <stp>T_CVol</stp>
        <tr r="AO36" s="2"/>
      </tp>
      <tp>
        <v>171</v>
        <stp/>
        <stp>ContractData</stp>
        <stp>GLEG4</stp>
        <stp>T_CVol</stp>
        <tr r="AO42" s="2"/>
      </tp>
      <tp>
        <v>6584</v>
        <stp/>
        <stp>ContractData</stp>
        <stp>GLEM3</stp>
        <stp>T_CVol</stp>
        <tr r="AO38" s="2"/>
      </tp>
      <tp>
        <v>0</v>
        <stp/>
        <stp>ContractData</stp>
        <stp>GLEM4</stp>
        <stp>T_CVol</stp>
        <tr r="AO44" s="2"/>
      </tp>
      <tp>
        <v>26035</v>
        <stp/>
        <stp>ContractData</stp>
        <stp>GLEJ3</stp>
        <stp>T_CVol</stp>
        <tr r="AO37" s="2"/>
      </tp>
      <tp>
        <v>61</v>
        <stp/>
        <stp>ContractData</stp>
        <stp>GLEJ4</stp>
        <stp>T_CVol</stp>
        <tr r="AO43" s="2"/>
      </tp>
      <tp>
        <v>1556</v>
        <stp/>
        <stp>ContractData</stp>
        <stp>GLEV3</stp>
        <stp>T_CVol</stp>
        <tr r="AO40" s="2"/>
      </tp>
      <tp>
        <v>4117</v>
        <stp/>
        <stp>ContractData</stp>
        <stp>GLEQ3</stp>
        <stp>T_CVol</stp>
        <tr r="AO39" s="2"/>
      </tp>
      <tp>
        <v>1591</v>
        <stp/>
        <stp>ContractData</stp>
        <stp>GLEZ3</stp>
        <stp>T_CVol</stp>
        <tr r="AO41" s="2"/>
      </tp>
      <tp t="s">
        <v/>
        <stp/>
        <stp>ContractData</stp>
        <stp>F.HES8G</stp>
        <stp>LastTradeorSettle</stp>
        <stp/>
        <stp>T</stp>
        <tr r="W9" s="5"/>
      </tp>
      <tp t="s">
        <v>295: F.GFS8H could not be resolved.</v>
        <stp/>
        <stp>ContractData</stp>
        <stp>F.GFS8H</stp>
        <stp>LastTradeorSettle</stp>
        <stp/>
        <stp>T</stp>
        <tr r="W9" s="6"/>
      </tp>
      <tp t="s">
        <v>GFH3</v>
        <stp/>
        <stp>ContractData</stp>
        <stp>GFH3</stp>
        <stp>Symbol</stp>
        <tr r="V6" s="2"/>
      </tp>
      <tp t="s">
        <v>GFF4</v>
        <stp/>
        <stp>ContractData</stp>
        <stp>GF?8</stp>
        <stp>Symbol</stp>
        <tr r="AJ6" s="2"/>
      </tp>
      <tp t="s">
        <v>GFK3</v>
        <stp/>
        <stp>ContractData</stp>
        <stp>GF?3</stp>
        <stp>Symbol</stp>
        <tr r="Z6" s="2"/>
      </tp>
      <tp t="s">
        <v>GFJ3</v>
        <stp/>
        <stp>ContractData</stp>
        <stp>GF?2</stp>
        <stp>Symbol</stp>
        <tr r="X6" s="2"/>
      </tp>
      <tp t="s">
        <v>GFU3</v>
        <stp/>
        <stp>ContractData</stp>
        <stp>GF?5</stp>
        <stp>Symbol</stp>
        <tr r="AD6" s="2"/>
      </tp>
      <tp t="s">
        <v>GFQ3</v>
        <stp/>
        <stp>ContractData</stp>
        <stp>GF?4</stp>
        <stp>Symbol</stp>
        <tr r="AB6" s="2"/>
      </tp>
      <tp t="s">
        <v>GFX3</v>
        <stp/>
        <stp>ContractData</stp>
        <stp>GF?7</stp>
        <stp>Symbol</stp>
        <tr r="AH6" s="2"/>
      </tp>
      <tp t="s">
        <v>GFV3</v>
        <stp/>
        <stp>ContractData</stp>
        <stp>GF?6</stp>
        <stp>Symbol</stp>
        <tr r="AF6" s="2"/>
      </tp>
      <tp t="s">
        <v>295: F.HES9G could not be resolved.</v>
        <stp/>
        <stp>ContractData</stp>
        <stp>F.HES9G</stp>
        <stp>LastTradeorSettle</stp>
        <stp/>
        <stp>T</stp>
        <tr r="W10" s="5"/>
      </tp>
      <tp t="s">
        <v>HEK3</v>
        <stp/>
        <stp>ContractData</stp>
        <stp>F.HE?3</stp>
        <stp>Symbol</stp>
        <tr r="Q4" s="5"/>
      </tp>
      <tp t="s">
        <v>HEJ3</v>
        <stp/>
        <stp>ContractData</stp>
        <stp>F.HE?2</stp>
        <stp>Symbol</stp>
        <tr r="Q3" s="5"/>
        <tr r="S36" s="5"/>
      </tp>
      <tp t="s">
        <v>HEG3</v>
        <stp/>
        <stp>ContractData</stp>
        <stp>F.HE?1</stp>
        <stp>Symbol</stp>
        <tr r="Q2" s="5"/>
        <tr r="S35" s="5"/>
      </tp>
      <tp t="s">
        <v>HEV3</v>
        <stp/>
        <stp>ContractData</stp>
        <stp>F.HE?7</stp>
        <stp>Symbol</stp>
        <tr r="Q8" s="5"/>
      </tp>
      <tp t="s">
        <v>HEQ3</v>
        <stp/>
        <stp>ContractData</stp>
        <stp>F.HE?6</stp>
        <stp>Symbol</stp>
        <tr r="Q7" s="5"/>
      </tp>
      <tp t="s">
        <v>HEN3</v>
        <stp/>
        <stp>ContractData</stp>
        <stp>F.HE?5</stp>
        <stp>Symbol</stp>
        <tr r="Q6" s="5"/>
      </tp>
      <tp t="s">
        <v>HEM3</v>
        <stp/>
        <stp>ContractData</stp>
        <stp>F.HE?4</stp>
        <stp>Symbol</stp>
        <tr r="Q5" s="5"/>
      </tp>
      <tp t="s">
        <v>HEG4</v>
        <stp/>
        <stp>ContractData</stp>
        <stp>F.HE?9</stp>
        <stp>Symbol</stp>
        <tr r="Q10" s="5"/>
      </tp>
      <tp t="s">
        <v>HEZ3</v>
        <stp/>
        <stp>ContractData</stp>
        <stp>F.HE?8</stp>
        <stp>Symbol</stp>
        <tr r="Q9" s="5"/>
      </tp>
      <tp t="s">
        <v>295: F.GFS8H could not be resolved.</v>
        <stp/>
        <stp>ContractData</stp>
        <stp>F.GFS8H</stp>
        <stp>NetLastQuoteToday</stp>
        <stp/>
        <stp>T</stp>
        <tr r="X9" s="6"/>
      </tp>
      <tp>
        <v>0.8</v>
        <stp/>
        <stp>ContractData</stp>
        <stp>F.HES8G</stp>
        <stp>NetLastQuoteToday</stp>
        <stp/>
        <stp>T</stp>
        <tr r="X9" s="5"/>
      </tp>
      <tp t="s">
        <v>295: F.HES9G could not be resolved.</v>
        <stp/>
        <stp>ContractData</stp>
        <stp>F.HES9G</stp>
        <stp>NetLastQuoteToday</stp>
        <stp/>
        <stp>T</stp>
        <tr r="X10" s="5"/>
      </tp>
      <tp>
        <v>41316.517303460649</v>
        <stp/>
        <stp>SystemInfo</stp>
        <stp>Linetime</stp>
        <tr r="T53" s="2"/>
        <tr r="AF53" s="2"/>
        <tr r="N53" s="2"/>
        <tr r="Z53" s="2"/>
      </tp>
      <tp t="s">
        <v>HEK4</v>
        <stp/>
        <stp>ContractData</stp>
        <stp>F.HE?11</stp>
        <stp>Symbol</stp>
        <tr r="Q12" s="5"/>
      </tp>
      <tp t="s">
        <v>HEJ4</v>
        <stp/>
        <stp>ContractData</stp>
        <stp>F.HE?10</stp>
        <stp>Symbol</stp>
        <tr r="Q11" s="5"/>
      </tp>
      <tp t="s">
        <v>HEM4</v>
        <stp/>
        <stp>ContractData</stp>
        <stp>F.HE?12</stp>
        <stp>Symbol</stp>
        <tr r="Q13" s="5"/>
      </tp>
      <tp>
        <v>3</v>
        <stp/>
        <stp>ContractData</stp>
        <stp>F.GLE?9</stp>
        <stp>MT_LastbIDVolume</stp>
        <tr r="T10" s="2"/>
      </tp>
      <tp>
        <v>1</v>
        <stp/>
        <stp>ContractData</stp>
        <stp>F.GLE?8</stp>
        <stp>MT_LastbIDVolume</stp>
        <tr r="AJ10" s="2"/>
        <tr r="R10" s="2"/>
      </tp>
      <tp>
        <v>17</v>
        <stp/>
        <stp>ContractData</stp>
        <stp>F.GLE?3</stp>
        <stp>MT_LastbIDVolume</stp>
        <tr r="Z10" s="2"/>
        <tr r="G10" s="2"/>
      </tp>
      <tp>
        <v>10</v>
        <stp/>
        <stp>ContractData</stp>
        <stp>F.GLE?2</stp>
        <stp>MT_LastbIDVolume</stp>
        <tr r="X10" s="2"/>
        <tr r="E10" s="2"/>
      </tp>
      <tp>
        <v>4</v>
        <stp/>
        <stp>ContractData</stp>
        <stp>F.GLE?7</stp>
        <stp>MT_LastbIDVolume</stp>
        <tr r="P10" s="2"/>
        <tr r="AH10" s="2"/>
      </tp>
      <tp>
        <v>4</v>
        <stp/>
        <stp>ContractData</stp>
        <stp>F.GLE?6</stp>
        <stp>MT_LastbIDVolume</stp>
        <tr r="M10" s="2"/>
        <tr r="AF10" s="2"/>
      </tp>
      <tp>
        <v>16</v>
        <stp/>
        <stp>ContractData</stp>
        <stp>F.GLE?5</stp>
        <stp>MT_LastbIDVolume</stp>
        <tr r="AD10" s="2"/>
        <tr r="K10" s="2"/>
      </tp>
      <tp>
        <v>10</v>
        <stp/>
        <stp>ContractData</stp>
        <stp>F.GLE?4</stp>
        <stp>MT_LastbIDVolume</stp>
        <tr r="I10" s="2"/>
        <tr r="AB10" s="2"/>
      </tp>
      <tp>
        <v>1</v>
        <stp/>
        <stp>ContractData</stp>
        <stp>F.GLE?9</stp>
        <stp>MT_LastASKVolume</stp>
        <tr r="T8" s="2"/>
      </tp>
      <tp>
        <v>1</v>
        <stp/>
        <stp>ContractData</stp>
        <stp>F.GLE?8</stp>
        <stp>MT_LastASKVolume</stp>
        <tr r="AJ8" s="2"/>
        <tr r="R8" s="2"/>
      </tp>
      <tp>
        <v>1</v>
        <stp/>
        <stp>ContractData</stp>
        <stp>F.GLE?3</stp>
        <stp>MT_LastASKVolume</stp>
        <tr r="G8" s="2"/>
        <tr r="Z8" s="2"/>
      </tp>
      <tp>
        <v>16</v>
        <stp/>
        <stp>ContractData</stp>
        <stp>F.GLE?2</stp>
        <stp>MT_LastASKVolume</stp>
        <tr r="X8" s="2"/>
        <tr r="E8" s="2"/>
      </tp>
      <tp>
        <v>2</v>
        <stp/>
        <stp>ContractData</stp>
        <stp>F.GLE?7</stp>
        <stp>MT_LastASKVolume</stp>
        <tr r="AH8" s="2"/>
        <tr r="P8" s="2"/>
      </tp>
      <tp>
        <v>1</v>
        <stp/>
        <stp>ContractData</stp>
        <stp>F.GLE?6</stp>
        <stp>MT_LastASKVolume</stp>
        <tr r="M8" s="2"/>
        <tr r="AF8" s="2"/>
      </tp>
      <tp>
        <v>2</v>
        <stp/>
        <stp>ContractData</stp>
        <stp>F.GLE?5</stp>
        <stp>MT_LastASKVolume</stp>
        <tr r="AD8" s="2"/>
        <tr r="K8" s="2"/>
      </tp>
      <tp>
        <v>23</v>
        <stp/>
        <stp>ContractData</stp>
        <stp>F.GLE?4</stp>
        <stp>MT_LastASKVolume</stp>
        <tr r="AB8" s="2"/>
        <tr r="I8" s="2"/>
      </tp>
      <tp>
        <v>162</v>
        <stp/>
        <stp>ContractData</stp>
        <stp>GFF4</stp>
        <stp>Settlement</stp>
        <stp/>
        <stp>T</stp>
        <tr r="AQ64" s="2"/>
        <tr r="AJ9" s="6"/>
      </tp>
      <tp>
        <v>85.3</v>
        <stp/>
        <stp>ContractData</stp>
        <stp>HEJ4</stp>
        <stp>Settlement</stp>
        <stp/>
        <stp>T</stp>
        <tr r="AJ11" s="5"/>
      </tp>
      <tp>
        <v>90.75</v>
        <stp/>
        <stp>ContractData</stp>
        <stp>HEK4</stp>
        <stp>Settlement</stp>
        <stp/>
        <stp>T</stp>
        <tr r="AJ12" s="5"/>
      </tp>
      <tp>
        <v>92.3</v>
        <stp/>
        <stp>ContractData</stp>
        <stp>HEM4</stp>
        <stp>Settlement</stp>
        <stp/>
        <stp>T</stp>
        <tr r="AJ13" s="5"/>
      </tp>
      <tp>
        <v>83.65</v>
        <stp/>
        <stp>ContractData</stp>
        <stp>HEG4</stp>
        <stp>Settlement</stp>
        <stp/>
        <stp>T</stp>
        <tr r="AJ10" s="5"/>
      </tp>
      <tp>
        <v>-0.35</v>
        <stp/>
        <stp>ContractData</stp>
        <stp>F.GFS1H</stp>
        <stp>NetLastQuoteToday</stp>
        <stp/>
        <stp>T</stp>
        <tr r="X2" s="6"/>
      </tp>
      <tp>
        <v>-0.15</v>
        <stp/>
        <stp>ContractData</stp>
        <stp>F.HES1G</stp>
        <stp>NetLastQuoteToday</stp>
        <stp/>
        <stp>T</stp>
        <tr r="X2" s="5"/>
      </tp>
      <tp>
        <v>-0.65</v>
        <stp/>
        <stp>ContractData</stp>
        <stp>F.GFS2H</stp>
        <stp>NetLastQuoteToday</stp>
        <stp/>
        <stp>T</stp>
        <tr r="X3" s="6"/>
      </tp>
      <tp>
        <v>0.375</v>
        <stp/>
        <stp>ContractData</stp>
        <stp>F.HES2G</stp>
        <stp>NetLastQuoteToday</stp>
        <stp/>
        <stp>T</stp>
        <tr r="X3" s="5"/>
      </tp>
      <tp>
        <v>-0.92500000000000004</v>
        <stp/>
        <stp>ContractData</stp>
        <stp>F.GFS3H</stp>
        <stp>NetLastQuoteToday</stp>
        <stp/>
        <stp>T</stp>
        <tr r="X4" s="6"/>
      </tp>
      <tp>
        <v>0.05</v>
        <stp/>
        <stp>ContractData</stp>
        <stp>F.HES3G</stp>
        <stp>NetLastQuoteToday</stp>
        <stp/>
        <stp>T</stp>
        <tr r="X4" s="5"/>
      </tp>
      <tp t="s">
        <v>295: F.HES10G could not be resolved.</v>
        <stp/>
        <stp>ContractData</stp>
        <stp>F.HES10G</stp>
        <stp>LongDescription</stp>
        <tr r="AI11" s="5"/>
      </tp>
      <tp t="s">
        <v>295: F.HES11G could not be resolved.</v>
        <stp/>
        <stp>ContractData</stp>
        <stp>F.HES11G</stp>
        <stp>LongDescription</stp>
        <tr r="AI12" s="5"/>
      </tp>
      <tp t="s">
        <v>295: F.HES12G could not be resolved.</v>
        <stp/>
        <stp>ContractData</stp>
        <stp>F.HES12G</stp>
        <stp>LongDescription</stp>
        <tr r="AI13" s="5"/>
      </tp>
      <tp>
        <v>-1.2749999999999999</v>
        <stp/>
        <stp>ContractData</stp>
        <stp>F.GFS4H</stp>
        <stp>NetLastQuoteToday</stp>
        <stp/>
        <stp>T</stp>
        <tr r="X5" s="6"/>
      </tp>
      <tp>
        <v>0.05</v>
        <stp/>
        <stp>ContractData</stp>
        <stp>F.HES4G</stp>
        <stp>NetLastQuoteToday</stp>
        <stp/>
        <stp>T</stp>
        <tr r="X5" s="5"/>
      </tp>
      <tp>
        <v>-0.67500000000000004</v>
        <stp/>
        <stp>ContractData</stp>
        <stp>F.GFS5H</stp>
        <stp>NetLastQuoteToday</stp>
        <stp/>
        <stp>T</stp>
        <tr r="X6" s="6"/>
      </tp>
      <tp>
        <v>0.17499999999999999</v>
        <stp/>
        <stp>ContractData</stp>
        <stp>F.HES5G</stp>
        <stp>NetLastQuoteToday</stp>
        <stp/>
        <stp>T</stp>
        <tr r="X6" s="5"/>
      </tp>
      <tp>
        <v>145</v>
        <stp/>
        <stp>ContractData</stp>
        <stp>GFH3</stp>
        <stp>Settlement</stp>
        <stp/>
        <stp>T</stp>
        <tr r="AQ57" s="2"/>
        <tr r="AJ2" s="6"/>
      </tp>
      <tp>
        <v>148.19999999999999</v>
        <stp/>
        <stp>ContractData</stp>
        <stp>GFJ3</stp>
        <stp>Settlement</stp>
        <stp/>
        <stp>T</stp>
        <tr r="AQ58" s="2"/>
        <tr r="AJ3" s="6"/>
      </tp>
      <tp>
        <v>150.52500000000001</v>
        <stp/>
        <stp>ContractData</stp>
        <stp>GFK3</stp>
        <stp>Settlement</stp>
        <stp/>
        <stp>T</stp>
        <tr r="AQ59" s="2"/>
        <tr r="AJ4" s="6"/>
      </tp>
      <tp>
        <v>160.1</v>
        <stp/>
        <stp>ContractData</stp>
        <stp>GFX3</stp>
        <stp>Settlement</stp>
        <stp/>
        <stp>T</stp>
        <tr r="AQ63" s="2"/>
        <tr r="AJ8" s="6"/>
      </tp>
      <tp>
        <v>156.69999999999999</v>
        <stp/>
        <stp>ContractData</stp>
        <stp>GFQ3</stp>
        <stp>Settlement</stp>
        <stp/>
        <stp>T</stp>
        <tr r="AQ60" s="2"/>
        <tr r="AJ5" s="6"/>
      </tp>
      <tp>
        <v>157.82499999999999</v>
        <stp/>
        <stp>ContractData</stp>
        <stp>GFU3</stp>
        <stp>Settlement</stp>
        <stp/>
        <stp>T</stp>
        <tr r="AJ6" s="6"/>
        <tr r="AQ61" s="2"/>
      </tp>
      <tp>
        <v>159.1</v>
        <stp/>
        <stp>ContractData</stp>
        <stp>GFV3</stp>
        <stp>Settlement</stp>
        <stp/>
        <stp>T</stp>
        <tr r="AQ62" s="2"/>
        <tr r="AJ7" s="6"/>
      </tp>
      <tp>
        <v>86.125</v>
        <stp/>
        <stp>ContractData</stp>
        <stp>HEJ3</stp>
        <stp>Settlement</stp>
        <stp/>
        <stp>T</stp>
        <tr r="AJ3" s="5"/>
      </tp>
      <tp>
        <v>93.5</v>
        <stp/>
        <stp>ContractData</stp>
        <stp>HEK3</stp>
        <stp>Settlement</stp>
        <stp/>
        <stp>T</stp>
        <tr r="AJ4" s="5"/>
      </tp>
      <tp>
        <v>94.5</v>
        <stp/>
        <stp>ContractData</stp>
        <stp>HEM3</stp>
        <stp>Settlement</stp>
        <stp/>
        <stp>T</stp>
        <tr r="AJ5" s="5"/>
      </tp>
      <tp>
        <v>94.1</v>
        <stp/>
        <stp>ContractData</stp>
        <stp>HEN3</stp>
        <stp>Settlement</stp>
        <stp/>
        <stp>T</stp>
        <tr r="AJ6" s="5"/>
      </tp>
      <tp>
        <v>86.45</v>
        <stp/>
        <stp>ContractData</stp>
        <stp>HEG3</stp>
        <stp>Settlement</stp>
        <stp/>
        <stp>T</stp>
        <tr r="AJ2" s="5"/>
      </tp>
      <tp>
        <v>82.1</v>
        <stp/>
        <stp>ContractData</stp>
        <stp>HEZ3</stp>
        <stp>Settlement</stp>
        <stp/>
        <stp>T</stp>
        <tr r="AJ9" s="5"/>
      </tp>
      <tp>
        <v>94</v>
        <stp/>
        <stp>ContractData</stp>
        <stp>HEQ3</stp>
        <stp>Settlement</stp>
        <stp/>
        <stp>T</stp>
        <tr r="AJ7" s="5"/>
      </tp>
      <tp>
        <v>85.424999999999997</v>
        <stp/>
        <stp>ContractData</stp>
        <stp>HEV3</stp>
        <stp>Settlement</stp>
        <stp/>
        <stp>T</stp>
        <tr r="AJ8" s="5"/>
      </tp>
      <tp>
        <v>-0.45</v>
        <stp/>
        <stp>ContractData</stp>
        <stp>F.GFS6H</stp>
        <stp>NetLastQuoteToday</stp>
        <stp/>
        <stp>T</stp>
        <tr r="X7" s="6"/>
      </tp>
      <tp>
        <v>0.52500000000000002</v>
        <stp/>
        <stp>ContractData</stp>
        <stp>F.HES6G</stp>
        <stp>NetLastQuoteToday</stp>
        <stp/>
        <stp>T</stp>
        <tr r="X7" s="5"/>
      </tp>
      <tp t="s">
        <v>GFK3</v>
        <stp/>
        <stp>ContractData</stp>
        <stp>F.GF?3</stp>
        <stp>Symbol</stp>
        <tr r="Q4" s="6"/>
      </tp>
      <tp t="s">
        <v>GFJ3</v>
        <stp/>
        <stp>ContractData</stp>
        <stp>F.GF?2</stp>
        <stp>Symbol</stp>
        <tr r="Q3" s="6"/>
        <tr r="S36" s="6"/>
      </tp>
      <tp t="s">
        <v>GFH3</v>
        <stp/>
        <stp>ContractData</stp>
        <stp>F.GF?1</stp>
        <stp>Symbol</stp>
        <tr r="Q2" s="6"/>
        <tr r="S35" s="6"/>
      </tp>
      <tp t="s">
        <v>GFX3</v>
        <stp/>
        <stp>ContractData</stp>
        <stp>F.GF?7</stp>
        <stp>Symbol</stp>
        <tr r="Q8" s="6"/>
      </tp>
      <tp t="s">
        <v>GFV3</v>
        <stp/>
        <stp>ContractData</stp>
        <stp>F.GF?6</stp>
        <stp>Symbol</stp>
        <tr r="Q7" s="6"/>
      </tp>
      <tp t="s">
        <v>GFU3</v>
        <stp/>
        <stp>ContractData</stp>
        <stp>F.GF?5</stp>
        <stp>Symbol</stp>
        <tr r="Q6" s="6"/>
      </tp>
      <tp t="s">
        <v>GFQ3</v>
        <stp/>
        <stp>ContractData</stp>
        <stp>F.GF?4</stp>
        <stp>Symbol</stp>
        <tr r="Q5" s="6"/>
      </tp>
      <tp t="s">
        <v>GFF4</v>
        <stp/>
        <stp>ContractData</stp>
        <stp>F.GF?8</stp>
        <stp>Symbol</stp>
        <tr r="Q9" s="6"/>
      </tp>
      <tp t="s">
        <v>GLEZ3</v>
        <stp/>
        <stp>ContractData</stp>
        <stp>F.GLE?6</stp>
        <stp>Symbol</stp>
        <tr r="Q7" s="3"/>
      </tp>
      <tp t="s">
        <v>GLEG4</v>
        <stp/>
        <stp>ContractData</stp>
        <stp>F.GLE?7</stp>
        <stp>Symbol</stp>
        <tr r="Q8" s="3"/>
      </tp>
      <tp t="s">
        <v>GLEQ3</v>
        <stp/>
        <stp>ContractData</stp>
        <stp>F.GLE?4</stp>
        <stp>Symbol</stp>
        <tr r="Q5" s="3"/>
      </tp>
      <tp t="s">
        <v>GLEV3</v>
        <stp/>
        <stp>ContractData</stp>
        <stp>F.GLE?5</stp>
        <stp>Symbol</stp>
        <tr r="Q6" s="3"/>
      </tp>
      <tp t="s">
        <v>GLEJ3</v>
        <stp/>
        <stp>ContractData</stp>
        <stp>F.GLE?2</stp>
        <stp>Symbol</stp>
        <tr r="Q3" s="3"/>
        <tr r="S36" s="3"/>
      </tp>
      <tp t="s">
        <v>GLEM3</v>
        <stp/>
        <stp>ContractData</stp>
        <stp>F.GLE?3</stp>
        <stp>Symbol</stp>
        <tr r="Q4" s="3"/>
      </tp>
      <tp t="s">
        <v>GLEG3</v>
        <stp/>
        <stp>ContractData</stp>
        <stp>F.GLE?1</stp>
        <stp>Symbol</stp>
        <tr r="Q2" s="3"/>
        <tr r="S35" s="3"/>
      </tp>
      <tp t="s">
        <v>GLEJ4</v>
        <stp/>
        <stp>ContractData</stp>
        <stp>F.GLE?8</stp>
        <stp>Symbol</stp>
        <tr r="Q9" s="3"/>
      </tp>
      <tp t="s">
        <v>GLEM4</v>
        <stp/>
        <stp>ContractData</stp>
        <stp>F.GLE?9</stp>
        <stp>Symbol</stp>
        <tr r="Q10" s="3"/>
      </tp>
      <tp>
        <v>-0.6</v>
        <stp/>
        <stp>ContractData</stp>
        <stp>F.GFS7H</stp>
        <stp>NetLastQuoteToday</stp>
        <stp/>
        <stp>T</stp>
        <tr r="X8" s="6"/>
      </tp>
      <tp>
        <v>0.42499999999999999</v>
        <stp/>
        <stp>ContractData</stp>
        <stp>F.HES7G</stp>
        <stp>NetLastQuoteToday</stp>
        <stp/>
        <stp>T</stp>
        <tr r="X8" s="5"/>
      </tp>
      <tp t="s">
        <v>295: F.HES10G could not be resolved.</v>
        <stp/>
        <stp>ContractData</stp>
        <stp>F.HES10G</stp>
        <stp>Settlement</stp>
        <stp/>
        <stp>T</stp>
        <tr r="AK11" s="5"/>
      </tp>
      <tp t="s">
        <v>295: F.HES11G could not be resolved.</v>
        <stp/>
        <stp>ContractData</stp>
        <stp>F.HES11G</stp>
        <stp>Settlement</stp>
        <stp/>
        <stp>T</stp>
        <tr r="AK12" s="5"/>
      </tp>
      <tp t="s">
        <v>295: F.HES12G could not be resolved.</v>
        <stp/>
        <stp>ContractData</stp>
        <stp>F.HES12G</stp>
        <stp>Settlement</stp>
        <stp/>
        <stp>T</stp>
        <tr r="AK13" s="5"/>
      </tp>
      <tp>
        <v>2.8</v>
        <stp/>
        <stp>ContractData</stp>
        <stp>F.HES8G</stp>
        <stp>Settlement</stp>
        <stp/>
        <stp>T</stp>
        <tr r="AK9" s="5"/>
      </tp>
      <tp t="s">
        <v>295: F.HES9G could not be resolved.</v>
        <stp/>
        <stp>ContractData</stp>
        <stp>F.HES9G</stp>
        <stp>Settlement</stp>
        <stp/>
        <stp>T</stp>
        <tr r="AK10" s="5"/>
      </tp>
      <tp>
        <v>-7.05</v>
        <stp/>
        <stp>ContractData</stp>
        <stp>F.HES2G</stp>
        <stp>Settlement</stp>
        <stp/>
        <stp>T</stp>
        <tr r="AK3" s="5"/>
      </tp>
      <tp>
        <v>-8.0500000000000007</v>
        <stp/>
        <stp>ContractData</stp>
        <stp>F.HES3G</stp>
        <stp>Settlement</stp>
        <stp/>
        <stp>T</stp>
        <tr r="AK4" s="5"/>
      </tp>
      <tp>
        <v>0.32500000000000001</v>
        <stp/>
        <stp>ContractData</stp>
        <stp>F.HES1G</stp>
        <stp>Settlement</stp>
        <stp/>
        <stp>T</stp>
        <tr r="AK2" s="5"/>
      </tp>
      <tp>
        <v>1.0249999999999999</v>
        <stp/>
        <stp>ContractData</stp>
        <stp>F.HES6G</stp>
        <stp>Settlement</stp>
        <stp/>
        <stp>T</stp>
        <tr r="AK7" s="5"/>
      </tp>
      <tp>
        <v>4.3499999999999996</v>
        <stp/>
        <stp>ContractData</stp>
        <stp>F.HES7G</stp>
        <stp>Settlement</stp>
        <stp/>
        <stp>T</stp>
        <tr r="AK8" s="5"/>
      </tp>
      <tp>
        <v>-7.65</v>
        <stp/>
        <stp>ContractData</stp>
        <stp>F.HES4G</stp>
        <stp>Settlement</stp>
        <stp/>
        <stp>T</stp>
        <tr r="AK5" s="5"/>
      </tp>
      <tp>
        <v>-7.55</v>
        <stp/>
        <stp>ContractData</stp>
        <stp>F.HES5G</stp>
        <stp>Settlement</stp>
        <stp/>
        <stp>T</stp>
        <tr r="AK6" s="5"/>
      </tp>
      <tp t="s">
        <v>295: F.GFS8H could not be resolved.</v>
        <stp/>
        <stp>ContractData</stp>
        <stp>F.GFS8H</stp>
        <stp>Settlement</stp>
        <stp/>
        <stp>T</stp>
        <tr r="AK9" s="6"/>
      </tp>
      <tp>
        <v>-5.5250000000000004</v>
        <stp/>
        <stp>ContractData</stp>
        <stp>F.GFS2H</stp>
        <stp>Settlement</stp>
        <stp/>
        <stp>T</stp>
        <tr r="AK3" s="6"/>
      </tp>
      <tp>
        <v>-11.7</v>
        <stp/>
        <stp>ContractData</stp>
        <stp>F.GFS3H</stp>
        <stp>Settlement</stp>
        <stp/>
        <stp>T</stp>
        <tr r="AK4" s="6"/>
      </tp>
      <tp>
        <v>-3.2</v>
        <stp/>
        <stp>ContractData</stp>
        <stp>F.GFS1H</stp>
        <stp>Settlement</stp>
        <stp/>
        <stp>T</stp>
        <tr r="AK2" s="6"/>
      </tp>
      <tp>
        <v>-15.1</v>
        <stp/>
        <stp>ContractData</stp>
        <stp>F.GFS6H</stp>
        <stp>Settlement</stp>
        <stp/>
        <stp>T</stp>
        <tr r="AK7" s="6"/>
      </tp>
      <tp>
        <v>-17</v>
        <stp/>
        <stp>ContractData</stp>
        <stp>F.GFS7H</stp>
        <stp>Settlement</stp>
        <stp/>
        <stp>T</stp>
        <tr r="AK8" s="6"/>
      </tp>
      <tp>
        <v>-12.824999999999999</v>
        <stp/>
        <stp>ContractData</stp>
        <stp>F.GFS4H</stp>
        <stp>Settlement</stp>
        <stp/>
        <stp>T</stp>
        <tr r="AK5" s="6"/>
      </tp>
      <tp>
        <v>-14.1</v>
        <stp/>
        <stp>ContractData</stp>
        <stp>F.GFS5H</stp>
        <stp>Settlement</stp>
        <stp/>
        <stp>T</stp>
        <tr r="AK6" s="6"/>
      </tp>
      <tp t="s">
        <v>Lean Hogs (Globex) Cal. Spread 2: February 2013</v>
        <stp/>
        <stp>ContractData</stp>
        <stp>F.HES2G</stp>
        <stp>LongDescription</stp>
        <tr r="AI3" s="5"/>
      </tp>
      <tp t="s">
        <v>Feeder Cattle (Globex) Calendar Spread 2: March 2013</v>
        <stp/>
        <stp>ContractData</stp>
        <stp>F.GFS2H</stp>
        <stp>LongDescription</stp>
        <tr r="AI3" s="6"/>
      </tp>
      <tp t="s">
        <v>Lean Hogs (Globex) Cal. Spread 3: February 2013</v>
        <stp/>
        <stp>ContractData</stp>
        <stp>F.HES3G</stp>
        <stp>LongDescription</stp>
        <tr r="AI4" s="5"/>
      </tp>
      <tp t="s">
        <v>Feeder Cattle (Globex) Calendar Spread 3: March 2013</v>
        <stp/>
        <stp>ContractData</stp>
        <stp>F.GFS3H</stp>
        <stp>LongDescription</stp>
        <tr r="AI4" s="6"/>
      </tp>
      <tp t="s">
        <v>Lean Hogs (Globex) Cal. Spread 1: February 2013</v>
        <stp/>
        <stp>ContractData</stp>
        <stp>F.HES1G</stp>
        <stp>LongDescription</stp>
        <tr r="AI2" s="5"/>
      </tp>
      <tp t="s">
        <v>Feeder Cattle (Globex) Calendar Spread 1: March 2013</v>
        <stp/>
        <stp>ContractData</stp>
        <stp>F.GFS1H</stp>
        <stp>LongDescription</stp>
        <tr r="AI2" s="6"/>
      </tp>
      <tp t="s">
        <v>Lean Hogs (Globex) Cal. Spread 6: February 2013</v>
        <stp/>
        <stp>ContractData</stp>
        <stp>F.HES6G</stp>
        <stp>LongDescription</stp>
        <tr r="AI7" s="5"/>
      </tp>
      <tp t="s">
        <v>Feeder Cattle (Globex) Calendar Spread 6: March 2013</v>
        <stp/>
        <stp>ContractData</stp>
        <stp>F.GFS6H</stp>
        <stp>LongDescription</stp>
        <tr r="AI7" s="6"/>
      </tp>
      <tp t="s">
        <v>Lean Hogs (Globex) Cal. Spread 7: February 2013</v>
        <stp/>
        <stp>ContractData</stp>
        <stp>F.HES7G</stp>
        <stp>LongDescription</stp>
        <tr r="AI8" s="5"/>
      </tp>
      <tp t="s">
        <v>Feeder Cattle (Globex) Calendar Spread 7: March 2013</v>
        <stp/>
        <stp>ContractData</stp>
        <stp>F.GFS7H</stp>
        <stp>LongDescription</stp>
        <tr r="AI8" s="6"/>
      </tp>
      <tp t="s">
        <v>Lean Hogs (Globex) Cal. Spread 4: February 2013</v>
        <stp/>
        <stp>ContractData</stp>
        <stp>F.HES4G</stp>
        <stp>LongDescription</stp>
        <tr r="AI5" s="5"/>
      </tp>
      <tp t="s">
        <v>Feeder Cattle (Globex) Calendar Spread 4: March 2013</v>
        <stp/>
        <stp>ContractData</stp>
        <stp>F.GFS4H</stp>
        <stp>LongDescription</stp>
        <tr r="AI5" s="6"/>
      </tp>
      <tp t="s">
        <v>Lean Hogs (Globex) Cal. Spread 5: February 2013</v>
        <stp/>
        <stp>ContractData</stp>
        <stp>F.HES5G</stp>
        <stp>LongDescription</stp>
        <tr r="AI6" s="5"/>
      </tp>
      <tp t="s">
        <v>Feeder Cattle (Globex) Calendar Spread 5: March 2013</v>
        <stp/>
        <stp>ContractData</stp>
        <stp>F.GFS5H</stp>
        <stp>LongDescription</stp>
        <tr r="AI6" s="6"/>
      </tp>
      <tp t="s">
        <v>Lean Hogs (Globex) Cal. Spread 8: February 2013</v>
        <stp/>
        <stp>ContractData</stp>
        <stp>F.HES8G</stp>
        <stp>LongDescription</stp>
        <tr r="AI9" s="5"/>
      </tp>
      <tp t="s">
        <v>295: F.GFS8H could not be resolved.</v>
        <stp/>
        <stp>ContractData</stp>
        <stp>F.GFS8H</stp>
        <stp>LongDescription</stp>
        <tr r="AI9" s="6"/>
      </tp>
      <tp t="s">
        <v>295: F.HES9G could not be resolved.</v>
        <stp/>
        <stp>ContractData</stp>
        <stp>F.HES9G</stp>
        <stp>LongDescription</stp>
        <tr r="AI10" s="5"/>
      </tp>
      <tp t="s">
        <v>295: F.GLES9G could not be resolved.</v>
        <stp/>
        <stp>ContractData</stp>
        <stp>F.GLES9G</stp>
        <stp>Settlement</stp>
        <stp/>
        <stp>T</stp>
        <tr r="AK10" s="3"/>
      </tp>
      <tp t="s">
        <v>295: F.GLES8G could not be resolved.</v>
        <stp/>
        <stp>ContractData</stp>
        <stp>F.GLES8G</stp>
        <stp>Settlement</stp>
        <stp/>
        <stp>T</stp>
        <tr r="AK9" s="3"/>
      </tp>
      <tp t="s">
        <v>295: F.GLES7G could not be resolved.</v>
        <stp/>
        <stp>ContractData</stp>
        <stp>F.GLES7G</stp>
        <stp>Settlement</stp>
        <stp/>
        <stp>T</stp>
        <tr r="AK8" s="3"/>
      </tp>
      <tp>
        <v>-6.6</v>
        <stp/>
        <stp>ContractData</stp>
        <stp>F.GLES6G</stp>
        <stp>Settlement</stp>
        <stp/>
        <stp>T</stp>
        <tr r="AK7" s="3"/>
      </tp>
      <tp>
        <v>-5.4249999999999998</v>
        <stp/>
        <stp>ContractData</stp>
        <stp>F.GLES5G</stp>
        <stp>Settlement</stp>
        <stp/>
        <stp>T</stp>
        <tr r="AK6" s="3"/>
      </tp>
      <tp>
        <v>-3.85</v>
        <stp/>
        <stp>ContractData</stp>
        <stp>F.GLES4G</stp>
        <stp>Settlement</stp>
        <stp/>
        <stp>T</stp>
        <tr r="AK5" s="3"/>
      </tp>
      <tp>
        <v>-2.5000000000000001E-2</v>
        <stp/>
        <stp>ContractData</stp>
        <stp>F.GLES3G</stp>
        <stp>Settlement</stp>
        <stp/>
        <stp>T</stp>
        <tr r="AK4" s="3"/>
      </tp>
      <tp>
        <v>0.75</v>
        <stp/>
        <stp>ContractData</stp>
        <stp>F.GLES2G</stp>
        <stp>Settlement</stp>
        <stp/>
        <stp>T</stp>
        <tr r="AK3" s="3"/>
      </tp>
      <tp>
        <v>-3.6749999999999998</v>
        <stp/>
        <stp>ContractData</stp>
        <stp>F.GLES1G</stp>
        <stp>Settlement</stp>
        <stp/>
        <stp>T</stp>
        <tr r="AK2" s="3"/>
      </tp>
      <tp t="s">
        <v>295: F.GLES8G could not be resolved.</v>
        <stp/>
        <stp>ContractData</stp>
        <stp>F.GLES8G</stp>
        <stp>Ask</stp>
        <stp/>
        <stp>T</stp>
        <tr r="Z9" s="3"/>
      </tp>
      <tp t="s">
        <v>295: F.GLES9G could not be resolved.</v>
        <stp/>
        <stp>ContractData</stp>
        <stp>F.GLES9G</stp>
        <stp>Ask</stp>
        <stp/>
        <stp>T</stp>
        <tr r="Z10" s="3"/>
      </tp>
      <tp>
        <v>-3.4249999999999998</v>
        <stp/>
        <stp>ContractData</stp>
        <stp>F.GLES4G</stp>
        <stp>Ask</stp>
        <stp/>
        <stp>T</stp>
        <tr r="Z5" s="3"/>
      </tp>
      <tp>
        <v>-5.2</v>
        <stp/>
        <stp>ContractData</stp>
        <stp>F.GLES5G</stp>
        <stp>Ask</stp>
        <stp/>
        <stp>T</stp>
        <tr r="Z6" s="3"/>
      </tp>
      <tp>
        <v>-5.875</v>
        <stp/>
        <stp>ContractData</stp>
        <stp>F.GLES6G</stp>
        <stp>Ask</stp>
        <stp/>
        <stp>T</stp>
        <tr r="Z7" s="3"/>
      </tp>
      <tp t="s">
        <v>295: F.GLES7G could not be resolved.</v>
        <stp/>
        <stp>ContractData</stp>
        <stp>F.GLES7G</stp>
        <stp>Ask</stp>
        <stp/>
        <stp>T</stp>
        <tr r="Z8" s="3"/>
      </tp>
      <tp>
        <v>-3.35</v>
        <stp/>
        <stp>ContractData</stp>
        <stp>F.GLES1G</stp>
        <stp>Ask</stp>
        <stp/>
        <stp>T</stp>
        <tr r="Z2" s="3"/>
      </tp>
      <tp>
        <v>1.1499999999999999</v>
        <stp/>
        <stp>ContractData</stp>
        <stp>F.GLES2G</stp>
        <stp>Ask</stp>
        <stp/>
        <stp>T</stp>
        <tr r="Z3" s="3"/>
      </tp>
      <tp>
        <v>0.52500000000000002</v>
        <stp/>
        <stp>ContractData</stp>
        <stp>F.GLES3G</stp>
        <stp>Ask</stp>
        <stp/>
        <stp>T</stp>
        <tr r="Z4" s="3"/>
      </tp>
      <tp>
        <v>-6.375</v>
        <stp/>
        <stp>ContractData</stp>
        <stp>F.GLES6G</stp>
        <stp>Bid</stp>
        <stp/>
        <stp>T</stp>
        <tr r="Y7" s="3"/>
      </tp>
      <tp t="s">
        <v>295: F.GLES7G could not be resolved.</v>
        <stp/>
        <stp>ContractData</stp>
        <stp>F.GLES7G</stp>
        <stp>Bid</stp>
        <stp/>
        <stp>T</stp>
        <tr r="Y8" s="3"/>
      </tp>
      <tp>
        <v>-3.5</v>
        <stp/>
        <stp>ContractData</stp>
        <stp>F.GLES4G</stp>
        <stp>Bid</stp>
        <stp/>
        <stp>T</stp>
        <tr r="Y5" s="3"/>
      </tp>
      <tp>
        <v>-5.2750000000000004</v>
        <stp/>
        <stp>ContractData</stp>
        <stp>F.GLES5G</stp>
        <stp>Bid</stp>
        <stp/>
        <stp>T</stp>
        <tr r="Y6" s="3"/>
      </tp>
      <tp>
        <v>1.1000000000000001</v>
        <stp/>
        <stp>ContractData</stp>
        <stp>F.GLES2G</stp>
        <stp>Bid</stp>
        <stp/>
        <stp>T</stp>
        <tr r="Y3" s="3"/>
      </tp>
      <tp>
        <v>0.45</v>
        <stp/>
        <stp>ContractData</stp>
        <stp>F.GLES3G</stp>
        <stp>Bid</stp>
        <stp/>
        <stp>T</stp>
        <tr r="Y4" s="3"/>
      </tp>
      <tp>
        <v>-3.375</v>
        <stp/>
        <stp>ContractData</stp>
        <stp>F.GLES1G</stp>
        <stp>Bid</stp>
        <stp/>
        <stp>T</stp>
        <tr r="Y2" s="3"/>
      </tp>
      <tp t="s">
        <v>295: F.GLES8G could not be resolved.</v>
        <stp/>
        <stp>ContractData</stp>
        <stp>F.GLES8G</stp>
        <stp>Bid</stp>
        <stp/>
        <stp>T</stp>
        <tr r="Y9" s="3"/>
      </tp>
      <tp t="s">
        <v>295: F.GLES9G could not be resolved.</v>
        <stp/>
        <stp>ContractData</stp>
        <stp>F.GLES9G</stp>
        <stp>Bid</stp>
        <stp/>
        <stp>T</stp>
        <tr r="Y10" s="3"/>
      </tp>
      <tp>
        <v>722</v>
        <stp/>
        <stp>ContractData</stp>
        <stp>HEN3</stp>
        <stp>T_CVol</stp>
        <tr r="AU40" s="2"/>
      </tp>
      <tp>
        <v>10</v>
        <stp/>
        <stp>ContractData</stp>
        <stp>HEM4</stp>
        <stp>T_CVol</stp>
        <tr r="AU47" s="2"/>
      </tp>
      <tp>
        <v>3882</v>
        <stp/>
        <stp>ContractData</stp>
        <stp>HEM3</stp>
        <stp>T_CVol</stp>
        <tr r="AU39" s="2"/>
      </tp>
      <tp>
        <v>0</v>
        <stp/>
        <stp>ContractData</stp>
        <stp>HEK4</stp>
        <stp>T_CVol</stp>
        <tr r="AU46" s="2"/>
      </tp>
      <tp>
        <v>39</v>
        <stp/>
        <stp>ContractData</stp>
        <stp>HEK3</stp>
        <stp>T_CVol</stp>
        <tr r="AU38" s="2"/>
      </tp>
      <tp>
        <v>210</v>
        <stp/>
        <stp>ContractData</stp>
        <stp>HEJ4</stp>
        <stp>T_CVol</stp>
        <tr r="AU45" s="2"/>
      </tp>
      <tp>
        <v>12086</v>
        <stp/>
        <stp>ContractData</stp>
        <stp>HEJ3</stp>
        <stp>T_CVol</stp>
        <tr r="AU37" s="2"/>
      </tp>
      <tp>
        <v>310</v>
        <stp/>
        <stp>ContractData</stp>
        <stp>HEG4</stp>
        <stp>T_CVol</stp>
        <tr r="AU44" s="2"/>
      </tp>
      <tp>
        <v>2503</v>
        <stp/>
        <stp>ContractData</stp>
        <stp>HEG3</stp>
        <stp>T_CVol</stp>
        <tr r="AU36" s="2"/>
      </tp>
      <tp>
        <v>413</v>
        <stp/>
        <stp>ContractData</stp>
        <stp>HEZ3</stp>
        <stp>T_CVol</stp>
        <tr r="AU43" s="2"/>
      </tp>
      <tp>
        <v>1101</v>
        <stp/>
        <stp>ContractData</stp>
        <stp>HEV3</stp>
        <stp>T_CVol</stp>
        <tr r="AU42" s="2"/>
      </tp>
      <tp>
        <v>696</v>
        <stp/>
        <stp>ContractData</stp>
        <stp>HEQ3</stp>
        <stp>T_CVol</stp>
        <tr r="AU41" s="2"/>
      </tp>
      <tp t="s">
        <v>GLEG4</v>
        <stp/>
        <stp>ContractData</stp>
        <stp>GLEG4</stp>
        <stp>Symbol</stp>
        <tr r="O6" s="2"/>
        <tr r="P6" s="2"/>
      </tp>
      <tp t="s">
        <v>GLEG3</v>
        <stp/>
        <stp>ContractData</stp>
        <stp>GLEG3</stp>
        <stp>Symbol</stp>
        <tr r="B6" s="2"/>
      </tp>
      <tp t="s">
        <v>GLEJ4</v>
        <stp/>
        <stp>ContractData</stp>
        <stp>GLEJ4</stp>
        <stp>Symbol</stp>
        <tr r="R6" s="2"/>
      </tp>
      <tp t="s">
        <v>GLEJ3</v>
        <stp/>
        <stp>ContractData</stp>
        <stp>GLEJ3</stp>
        <stp>Symbol</stp>
        <tr r="E6" s="2"/>
      </tp>
      <tp t="s">
        <v>GLEM4</v>
        <stp/>
        <stp>ContractData</stp>
        <stp>GLEM4</stp>
        <stp>Symbol</stp>
        <tr r="T6" s="2"/>
      </tp>
      <tp t="s">
        <v>GLEM3</v>
        <stp/>
        <stp>ContractData</stp>
        <stp>GLEM3</stp>
        <stp>Symbol</stp>
        <tr r="G6" s="2"/>
      </tp>
      <tp t="s">
        <v>GLEQ3</v>
        <stp/>
        <stp>ContractData</stp>
        <stp>GLEQ3</stp>
        <stp>Symbol</stp>
        <tr r="I6" s="2"/>
      </tp>
      <tp t="s">
        <v>GLEV3</v>
        <stp/>
        <stp>ContractData</stp>
        <stp>GLEV3</stp>
        <stp>Symbol</stp>
        <tr r="K6" s="2"/>
      </tp>
      <tp t="s">
        <v>GLEZ3</v>
        <stp/>
        <stp>ContractData</stp>
        <stp>GLEZ3</stp>
        <stp>Symbol</stp>
        <tr r="M6" s="2"/>
      </tp>
      <tp t="s">
        <v>295: F.HES11G could not be resolved.</v>
        <stp/>
        <stp>ContractData</stp>
        <stp>F.HES11G</stp>
        <stp>Bid</stp>
        <stp/>
        <stp>T</stp>
        <tr r="Y12" s="5"/>
      </tp>
      <tp t="s">
        <v>295: F.HES10G could not be resolved.</v>
        <stp/>
        <stp>ContractData</stp>
        <stp>F.HES10G</stp>
        <stp>Bid</stp>
        <stp/>
        <stp>T</stp>
        <tr r="Y11" s="5"/>
      </tp>
      <tp t="s">
        <v>295: F.HES12G could not be resolved.</v>
        <stp/>
        <stp>ContractData</stp>
        <stp>F.HES12G</stp>
        <stp>Bid</stp>
        <stp/>
        <stp>T</stp>
        <tr r="Y13" s="5"/>
      </tp>
      <tp t="s">
        <v>295: F.HES12G could not be resolved.</v>
        <stp/>
        <stp>ContractData</stp>
        <stp>F.HES12G</stp>
        <stp>Ask</stp>
        <stp/>
        <stp>T</stp>
        <tr r="Z13" s="5"/>
      </tp>
      <tp t="s">
        <v>295: F.HES11G could not be resolved.</v>
        <stp/>
        <stp>ContractData</stp>
        <stp>F.HES11G</stp>
        <stp>Ask</stp>
        <stp/>
        <stp>T</stp>
        <tr r="Z12" s="5"/>
      </tp>
      <tp t="s">
        <v>295: F.HES10G could not be resolved.</v>
        <stp/>
        <stp>ContractData</stp>
        <stp>F.HES10G</stp>
        <stp>Ask</stp>
        <stp/>
        <stp>T</stp>
        <tr r="Z11" s="5"/>
      </tp>
      <tp>
        <v>1512</v>
        <stp/>
        <stp>ContractData</stp>
        <stp>GFK3</stp>
        <stp>T_CVol</stp>
        <tr r="AR38" s="2"/>
      </tp>
      <tp>
        <v>2246</v>
        <stp/>
        <stp>ContractData</stp>
        <stp>GFJ3</stp>
        <stp>T_CVol</stp>
        <tr r="AR37" s="2"/>
      </tp>
      <tp>
        <v>3499</v>
        <stp/>
        <stp>ContractData</stp>
        <stp>GFH3</stp>
        <stp>T_CVol</stp>
        <tr r="AR36" s="2"/>
      </tp>
      <tp>
        <v>3</v>
        <stp/>
        <stp>ContractData</stp>
        <stp>GFF4</stp>
        <stp>T_CVol</stp>
        <tr r="AR43" s="2"/>
      </tp>
      <tp>
        <v>41</v>
        <stp/>
        <stp>ContractData</stp>
        <stp>GFX3</stp>
        <stp>T_CVol</stp>
        <tr r="AR42" s="2"/>
      </tp>
      <tp>
        <v>72</v>
        <stp/>
        <stp>ContractData</stp>
        <stp>GFV3</stp>
        <stp>T_CVol</stp>
        <tr r="AR41" s="2"/>
      </tp>
      <tp>
        <v>213</v>
        <stp/>
        <stp>ContractData</stp>
        <stp>GFU3</stp>
        <stp>T_CVol</stp>
        <tr r="AR40" s="2"/>
      </tp>
      <tp>
        <v>855</v>
        <stp/>
        <stp>ContractData</stp>
        <stp>GFQ3</stp>
        <stp>T_CVol</stp>
        <tr r="AR39" s="2"/>
      </tp>
      <tp t="s">
        <v>OCT</v>
        <stp/>
        <stp>ContractData</stp>
        <stp>GLEV3</stp>
        <stp>ContractMonth</stp>
        <tr r="B6" s="3"/>
      </tp>
      <tp t="s">
        <v>AUG</v>
        <stp/>
        <stp>ContractData</stp>
        <stp>GLEQ3</stp>
        <stp>ContractMonth</stp>
        <tr r="B5" s="3"/>
      </tp>
      <tp t="s">
        <v>DEC</v>
        <stp/>
        <stp>ContractData</stp>
        <stp>GLEZ3</stp>
        <stp>ContractMonth</stp>
        <tr r="B7" s="3"/>
      </tp>
      <tp t="s">
        <v>FEB</v>
        <stp/>
        <stp>ContractData</stp>
        <stp>GLEG3</stp>
        <stp>ContractMonth</stp>
        <tr r="B2" s="3"/>
      </tp>
      <tp t="s">
        <v>JUN</v>
        <stp/>
        <stp>ContractData</stp>
        <stp>GLEM3</stp>
        <stp>ContractMonth</stp>
        <tr r="B4" s="3"/>
      </tp>
      <tp t="s">
        <v>APR</v>
        <stp/>
        <stp>ContractData</stp>
        <stp>GLEJ3</stp>
        <stp>ContractMonth</stp>
        <tr r="B3" s="3"/>
      </tp>
      <tp t="s">
        <v>Live Cattle (Globex): February 2013</v>
        <stp/>
        <stp>ContractData</stp>
        <stp>F.GLE?1</stp>
        <stp>LongDescription</stp>
        <tr r="F4" s="2"/>
      </tp>
      <tp t="s">
        <v>FEB</v>
        <stp/>
        <stp>ContractData</stp>
        <stp>GLEG4</stp>
        <stp>ContractMonth</stp>
        <tr r="B8" s="3"/>
      </tp>
      <tp t="s">
        <v>JUN</v>
        <stp/>
        <stp>ContractData</stp>
        <stp>GLEM4</stp>
        <stp>ContractMonth</stp>
        <tr r="B10" s="3"/>
      </tp>
      <tp t="s">
        <v>APR</v>
        <stp/>
        <stp>ContractData</stp>
        <stp>GLEJ4</stp>
        <stp>ContractMonth</stp>
        <tr r="B9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74663851376115E-2"/>
          <c:y val="0.25643313128058476"/>
          <c:w val="0.89648118007595423"/>
          <c:h val="0.580149827818837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Main!$AS$57:$AS$64</c:f>
              <c:numCache>
                <c:formatCode>0.000</c:formatCode>
                <c:ptCount val="8"/>
                <c:pt idx="0">
                  <c:v>-0.9375</c:v>
                </c:pt>
                <c:pt idx="1">
                  <c:v>-0.29999999999999716</c:v>
                </c:pt>
                <c:pt idx="2">
                  <c:v>0.12499999999998579</c:v>
                </c:pt>
                <c:pt idx="3">
                  <c:v>0.45000000000000995</c:v>
                </c:pt>
                <c:pt idx="4">
                  <c:v>0.57500000000001705</c:v>
                </c:pt>
                <c:pt idx="5">
                  <c:v>8.7499999999991473E-2</c:v>
                </c:pt>
                <c:pt idx="6">
                  <c:v>0.22500000000002274</c:v>
                </c:pt>
                <c:pt idx="7">
                  <c:v>-1.0250000000000057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63680"/>
        <c:axId val="164665216"/>
      </c:barChart>
      <c:catAx>
        <c:axId val="16466368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64665216"/>
        <c:crosses val="autoZero"/>
        <c:auto val="1"/>
        <c:lblAlgn val="ctr"/>
        <c:lblOffset val="100"/>
        <c:noMultiLvlLbl val="0"/>
      </c:catAx>
      <c:valAx>
        <c:axId val="164665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16466368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41677597437397E-2"/>
          <c:y val="0.20379739766571731"/>
          <c:w val="0.91539882326790845"/>
          <c:h val="0.593242865918355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Main!$AV$36:$AV$44</c:f>
              <c:strCache>
                <c:ptCount val="9"/>
                <c:pt idx="0">
                  <c:v>y 2013</c:v>
                </c:pt>
                <c:pt idx="1">
                  <c:v>l 2013</c:v>
                </c:pt>
                <c:pt idx="2">
                  <c:v>y 2013</c:v>
                </c:pt>
                <c:pt idx="3">
                  <c:v>e 2013</c:v>
                </c:pt>
                <c:pt idx="4">
                  <c:v>y 2013</c:v>
                </c:pt>
                <c:pt idx="5">
                  <c:v>t 2013</c:v>
                </c:pt>
                <c:pt idx="6">
                  <c:v>r 2013</c:v>
                </c:pt>
                <c:pt idx="7">
                  <c:v>r 2013</c:v>
                </c:pt>
                <c:pt idx="8">
                  <c:v>y 2014</c:v>
                </c:pt>
              </c:strCache>
            </c:strRef>
          </c:cat>
          <c:val>
            <c:numRef>
              <c:f>Main!$AU$36:$AU$44</c:f>
              <c:numCache>
                <c:formatCode>General</c:formatCode>
                <c:ptCount val="9"/>
                <c:pt idx="0">
                  <c:v>2503</c:v>
                </c:pt>
                <c:pt idx="1">
                  <c:v>12086</c:v>
                </c:pt>
                <c:pt idx="2">
                  <c:v>39</c:v>
                </c:pt>
                <c:pt idx="3">
                  <c:v>3882</c:v>
                </c:pt>
                <c:pt idx="4">
                  <c:v>722</c:v>
                </c:pt>
                <c:pt idx="5">
                  <c:v>696</c:v>
                </c:pt>
                <c:pt idx="6">
                  <c:v>1101</c:v>
                </c:pt>
                <c:pt idx="7">
                  <c:v>413</c:v>
                </c:pt>
                <c:pt idx="8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21888"/>
        <c:axId val="167231872"/>
      </c:barChart>
      <c:catAx>
        <c:axId val="16722188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167231872"/>
        <c:crosses val="autoZero"/>
        <c:auto val="1"/>
        <c:lblAlgn val="ctr"/>
        <c:lblOffset val="100"/>
        <c:noMultiLvlLbl val="0"/>
      </c:catAx>
      <c:valAx>
        <c:axId val="16723187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6722188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619756434563E-2"/>
          <c:y val="0.33966822420931619"/>
          <c:w val="0.91934017872642526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HE!$U$2:$U$10</c:f>
              <c:numCache>
                <c:formatCode>0.00</c:formatCode>
                <c:ptCount val="9"/>
                <c:pt idx="0">
                  <c:v>7.4999999999999997E-2</c:v>
                </c:pt>
                <c:pt idx="1">
                  <c:v>0.2</c:v>
                </c:pt>
                <c:pt idx="2">
                  <c:v>-0.125</c:v>
                </c:pt>
                <c:pt idx="3">
                  <c:v>-2.5000000000000001E-2</c:v>
                </c:pt>
                <c:pt idx="4">
                  <c:v>0</c:v>
                </c:pt>
                <c:pt idx="5">
                  <c:v>-0.17499999999999999</c:v>
                </c:pt>
                <c:pt idx="6">
                  <c:v>-0.55000000000000004</c:v>
                </c:pt>
                <c:pt idx="7">
                  <c:v>-0.47499999999999998</c:v>
                </c:pt>
                <c:pt idx="8">
                  <c:v>-0.4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43776"/>
        <c:axId val="167245312"/>
      </c:barChart>
      <c:catAx>
        <c:axId val="16724377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67245312"/>
        <c:crosses val="autoZero"/>
        <c:auto val="1"/>
        <c:lblAlgn val="ctr"/>
        <c:lblOffset val="100"/>
        <c:noMultiLvlLbl val="0"/>
      </c:catAx>
      <c:valAx>
        <c:axId val="167245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16724377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10730062986938E-2"/>
          <c:y val="0.33966822420931619"/>
          <c:w val="0.91275906651846206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7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GLE!$U$2:$U$10</c:f>
              <c:numCache>
                <c:formatCode>0.00</c:formatCode>
                <c:ptCount val="9"/>
                <c:pt idx="0">
                  <c:v>0.47499999999999998</c:v>
                </c:pt>
                <c:pt idx="1">
                  <c:v>0.17499999999999999</c:v>
                </c:pt>
                <c:pt idx="2">
                  <c:v>0.125</c:v>
                </c:pt>
                <c:pt idx="3">
                  <c:v>-0.05</c:v>
                </c:pt>
                <c:pt idx="4">
                  <c:v>0.1</c:v>
                </c:pt>
                <c:pt idx="5">
                  <c:v>0.3</c:v>
                </c:pt>
                <c:pt idx="6">
                  <c:v>-7.4999999999999997E-2</c:v>
                </c:pt>
                <c:pt idx="7">
                  <c:v>-0.25</c:v>
                </c:pt>
                <c:pt idx="8">
                  <c:v>-1.5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36000"/>
        <c:axId val="166337536"/>
      </c:barChart>
      <c:catAx>
        <c:axId val="16633600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66337536"/>
        <c:crosses val="autoZero"/>
        <c:auto val="1"/>
        <c:lblAlgn val="ctr"/>
        <c:lblOffset val="100"/>
        <c:noMultiLvlLbl val="0"/>
      </c:catAx>
      <c:valAx>
        <c:axId val="1663375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16633600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GF!$AH$2:$AH$9</c:f>
              <c:strCache>
                <c:ptCount val="8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JAN</c:v>
                </c:pt>
              </c:strCache>
            </c:strRef>
          </c:cat>
          <c:val>
            <c:numRef>
              <c:f>GF!$AF$2:$AF$9</c:f>
              <c:numCache>
                <c:formatCode>General</c:formatCode>
                <c:ptCount val="8"/>
                <c:pt idx="0">
                  <c:v>144.52500000000001</c:v>
                </c:pt>
                <c:pt idx="1">
                  <c:v>148.02500000000001</c:v>
                </c:pt>
                <c:pt idx="2">
                  <c:v>150.69999999999999</c:v>
                </c:pt>
                <c:pt idx="3">
                  <c:v>157.15</c:v>
                </c:pt>
                <c:pt idx="4">
                  <c:v>158.47499999999999</c:v>
                </c:pt>
                <c:pt idx="5">
                  <c:v>159.47499999999999</c:v>
                </c:pt>
                <c:pt idx="6">
                  <c:v>160.3125</c:v>
                </c:pt>
                <c:pt idx="7">
                  <c:v>160.6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GF!$AH$2:$AH$9</c:f>
              <c:strCache>
                <c:ptCount val="8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AUG</c:v>
                </c:pt>
                <c:pt idx="4">
                  <c:v>SEP</c:v>
                </c:pt>
                <c:pt idx="5">
                  <c:v>OCT</c:v>
                </c:pt>
                <c:pt idx="6">
                  <c:v>NOV</c:v>
                </c:pt>
                <c:pt idx="7">
                  <c:v>JAN</c:v>
                </c:pt>
              </c:strCache>
            </c:strRef>
          </c:cat>
          <c:val>
            <c:numRef>
              <c:f>GF!$AL$2:$AL$9</c:f>
              <c:numCache>
                <c:formatCode>General</c:formatCode>
                <c:ptCount val="8"/>
                <c:pt idx="0">
                  <c:v>145</c:v>
                </c:pt>
                <c:pt idx="1">
                  <c:v>148.19999999999999</c:v>
                </c:pt>
                <c:pt idx="2">
                  <c:v>150.52500000000001</c:v>
                </c:pt>
                <c:pt idx="3">
                  <c:v>156.69999999999999</c:v>
                </c:pt>
                <c:pt idx="4">
                  <c:v>157.82499999999999</c:v>
                </c:pt>
                <c:pt idx="5">
                  <c:v>159.1</c:v>
                </c:pt>
                <c:pt idx="6">
                  <c:v>160.1</c:v>
                </c:pt>
                <c:pt idx="7">
                  <c:v>162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53920"/>
        <c:axId val="166388864"/>
      </c:lineChart>
      <c:catAx>
        <c:axId val="1663539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aseline="0"/>
            </a:pPr>
            <a:endParaRPr lang="en-US"/>
          </a:p>
        </c:txPr>
        <c:crossAx val="166388864"/>
        <c:crosses val="autoZero"/>
        <c:auto val="1"/>
        <c:lblAlgn val="ctr"/>
        <c:lblOffset val="100"/>
        <c:noMultiLvlLbl val="0"/>
      </c:catAx>
      <c:valAx>
        <c:axId val="16638886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6353920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06973709291939E-2"/>
          <c:y val="0.13196544606681448"/>
          <c:w val="0.91006202436985884"/>
          <c:h val="0.73527610019621337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Main!$AM$32:$AT$32</c:f>
              <c:strCache>
                <c:ptCount val="8"/>
                <c:pt idx="0">
                  <c:v>GFH3-GLEG3</c:v>
                </c:pt>
                <c:pt idx="1">
                  <c:v>GFJ3-GLEJ3</c:v>
                </c:pt>
                <c:pt idx="2">
                  <c:v>GFK3-GLEM3</c:v>
                </c:pt>
                <c:pt idx="3">
                  <c:v>GFQ3-GLEQ3</c:v>
                </c:pt>
                <c:pt idx="4">
                  <c:v>GFU3-GLEV3</c:v>
                </c:pt>
                <c:pt idx="5">
                  <c:v>GFV3-GLEZ3</c:v>
                </c:pt>
                <c:pt idx="6">
                  <c:v>GFX3-GLEG4</c:v>
                </c:pt>
                <c:pt idx="7">
                  <c:v>GFF4-GLEJ4</c:v>
                </c:pt>
              </c:strCache>
            </c:strRef>
          </c:cat>
          <c:val>
            <c:numRef>
              <c:f>Main!$AM$33:$AT$33</c:f>
              <c:numCache>
                <c:formatCode>0.000</c:formatCode>
                <c:ptCount val="8"/>
                <c:pt idx="0">
                  <c:v>17.612499999999997</c:v>
                </c:pt>
                <c:pt idx="1">
                  <c:v>17.774999999999991</c:v>
                </c:pt>
                <c:pt idx="2">
                  <c:v>24.949999999999989</c:v>
                </c:pt>
                <c:pt idx="3">
                  <c:v>30.675000000000004</c:v>
                </c:pt>
                <c:pt idx="4">
                  <c:v>28.099999999999994</c:v>
                </c:pt>
                <c:pt idx="5">
                  <c:v>27.312499999999986</c:v>
                </c:pt>
                <c:pt idx="6">
                  <c:v>27.275000000000006</c:v>
                </c:pt>
                <c:pt idx="7">
                  <c:v>26.224999999999994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gradFill>
                <a:gsLst>
                  <a:gs pos="0">
                    <a:srgbClr val="000082"/>
                  </a:gs>
                  <a:gs pos="30000">
                    <a:srgbClr val="66008F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c:spPr>
          </c:marker>
          <c:val>
            <c:numRef>
              <c:f>Main!$AR$57:$AR$64</c:f>
              <c:numCache>
                <c:formatCode>General</c:formatCode>
                <c:ptCount val="8"/>
                <c:pt idx="0">
                  <c:v>18.549999999999997</c:v>
                </c:pt>
                <c:pt idx="1">
                  <c:v>18.074999999999989</c:v>
                </c:pt>
                <c:pt idx="2">
                  <c:v>24.825000000000003</c:v>
                </c:pt>
                <c:pt idx="3">
                  <c:v>30.224999999999994</c:v>
                </c:pt>
                <c:pt idx="4">
                  <c:v>27.524999999999977</c:v>
                </c:pt>
                <c:pt idx="5">
                  <c:v>27.224999999999994</c:v>
                </c:pt>
                <c:pt idx="6">
                  <c:v>27.049999999999983</c:v>
                </c:pt>
                <c:pt idx="7">
                  <c:v>27.25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75584"/>
        <c:axId val="166677504"/>
      </c:lineChart>
      <c:catAx>
        <c:axId val="16667558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700" baseline="0"/>
            </a:pPr>
            <a:endParaRPr lang="en-US"/>
          </a:p>
        </c:txPr>
        <c:crossAx val="166677504"/>
        <c:crosses val="autoZero"/>
        <c:auto val="1"/>
        <c:lblAlgn val="ctr"/>
        <c:lblOffset val="100"/>
        <c:noMultiLvlLbl val="0"/>
      </c:catAx>
      <c:valAx>
        <c:axId val="16667750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667558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44556007680243E-2"/>
          <c:y val="0.17897450318710162"/>
          <c:w val="0.90134404340397045"/>
          <c:h val="0.6180652418447694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Main!$AS$36:$AS$43</c:f>
              <c:numCache>
                <c:formatCode>General</c:formatCode>
                <c:ptCount val="8"/>
              </c:numCache>
            </c:numRef>
          </c:cat>
          <c:val>
            <c:numRef>
              <c:f>Main!$AR$36:$AR$43</c:f>
              <c:numCache>
                <c:formatCode>General</c:formatCode>
                <c:ptCount val="8"/>
                <c:pt idx="0">
                  <c:v>3499</c:v>
                </c:pt>
                <c:pt idx="1">
                  <c:v>2246</c:v>
                </c:pt>
                <c:pt idx="2">
                  <c:v>1512</c:v>
                </c:pt>
                <c:pt idx="3">
                  <c:v>855</c:v>
                </c:pt>
                <c:pt idx="4">
                  <c:v>213</c:v>
                </c:pt>
                <c:pt idx="5">
                  <c:v>72</c:v>
                </c:pt>
                <c:pt idx="6">
                  <c:v>41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06560"/>
        <c:axId val="166712448"/>
      </c:barChart>
      <c:catAx>
        <c:axId val="16670656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166712448"/>
        <c:crosses val="autoZero"/>
        <c:auto val="1"/>
        <c:lblAlgn val="ctr"/>
        <c:lblOffset val="100"/>
        <c:noMultiLvlLbl val="0"/>
      </c:catAx>
      <c:valAx>
        <c:axId val="16671244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6670656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74663851376115E-2"/>
          <c:y val="0.25643313128058476"/>
          <c:w val="0.89648118007595423"/>
          <c:h val="0.580149827818837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txPr>
              <a:bodyPr/>
              <a:lstStyle/>
              <a:p>
                <a:pPr>
                  <a:defRPr sz="65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GF!$U$2:$U$10</c:f>
              <c:numCache>
                <c:formatCode>0.00</c:formatCode>
                <c:ptCount val="9"/>
                <c:pt idx="0">
                  <c:v>-0.47499999999999998</c:v>
                </c:pt>
                <c:pt idx="1">
                  <c:v>-0.17499999999999999</c:v>
                </c:pt>
                <c:pt idx="2">
                  <c:v>0.17499999999999999</c:v>
                </c:pt>
                <c:pt idx="3">
                  <c:v>0.45</c:v>
                </c:pt>
                <c:pt idx="4">
                  <c:v>0.65</c:v>
                </c:pt>
                <c:pt idx="5">
                  <c:v>0.5</c:v>
                </c:pt>
                <c:pt idx="6">
                  <c:v>2.5000000000000001E-2</c:v>
                </c:pt>
                <c:pt idx="7">
                  <c:v>-1.65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66112"/>
        <c:axId val="167467648"/>
      </c:barChart>
      <c:catAx>
        <c:axId val="16746611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67467648"/>
        <c:crosses val="autoZero"/>
        <c:auto val="1"/>
        <c:lblAlgn val="ctr"/>
        <c:lblOffset val="100"/>
        <c:noMultiLvlLbl val="0"/>
      </c:catAx>
      <c:valAx>
        <c:axId val="167467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16746611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93450976194432E-2"/>
          <c:y val="0.20379739766571731"/>
          <c:w val="0.91374702302024247"/>
          <c:h val="0.593242865918355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Main!$AP$36:$AP$44</c:f>
              <c:numCache>
                <c:formatCode>General</c:formatCode>
                <c:ptCount val="9"/>
              </c:numCache>
            </c:numRef>
          </c:cat>
          <c:val>
            <c:numRef>
              <c:f>Main!$AO$36:$AO$44</c:f>
              <c:numCache>
                <c:formatCode>General</c:formatCode>
                <c:ptCount val="9"/>
                <c:pt idx="0">
                  <c:v>2997</c:v>
                </c:pt>
                <c:pt idx="1">
                  <c:v>26035</c:v>
                </c:pt>
                <c:pt idx="2">
                  <c:v>6584</c:v>
                </c:pt>
                <c:pt idx="3">
                  <c:v>4117</c:v>
                </c:pt>
                <c:pt idx="4">
                  <c:v>1556</c:v>
                </c:pt>
                <c:pt idx="5">
                  <c:v>1591</c:v>
                </c:pt>
                <c:pt idx="6">
                  <c:v>171</c:v>
                </c:pt>
                <c:pt idx="7">
                  <c:v>61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87744"/>
        <c:axId val="167497728"/>
      </c:barChart>
      <c:catAx>
        <c:axId val="16748774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crossAx val="167497728"/>
        <c:crosses val="autoZero"/>
        <c:auto val="1"/>
        <c:lblAlgn val="ctr"/>
        <c:lblOffset val="100"/>
        <c:noMultiLvlLbl val="0"/>
      </c:catAx>
      <c:valAx>
        <c:axId val="16749772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67487744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79591302042371E-2"/>
          <c:y val="4.6419090063999864E-2"/>
          <c:w val="0.91231080982791735"/>
          <c:h val="0.8420719402489249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GLE!$AH$2:$AH$10</c:f>
              <c:strCache>
                <c:ptCount val="9"/>
                <c:pt idx="0">
                  <c:v>FEB</c:v>
                </c:pt>
                <c:pt idx="1">
                  <c:v>APR</c:v>
                </c:pt>
                <c:pt idx="2">
                  <c:v>JUN</c:v>
                </c:pt>
                <c:pt idx="3">
                  <c:v>AUG</c:v>
                </c:pt>
                <c:pt idx="4">
                  <c:v>OCT</c:v>
                </c:pt>
                <c:pt idx="5">
                  <c:v>DEC</c:v>
                </c:pt>
                <c:pt idx="6">
                  <c:v>FEB</c:v>
                </c:pt>
                <c:pt idx="7">
                  <c:v>APR</c:v>
                </c:pt>
                <c:pt idx="8">
                  <c:v>JUN</c:v>
                </c:pt>
              </c:strCache>
            </c:strRef>
          </c:cat>
          <c:val>
            <c:numRef>
              <c:f>GLE!$AF$2:$AF$10</c:f>
              <c:numCache>
                <c:formatCode>General</c:formatCode>
                <c:ptCount val="9"/>
                <c:pt idx="0">
                  <c:v>126.925</c:v>
                </c:pt>
                <c:pt idx="1">
                  <c:v>130.30000000000001</c:v>
                </c:pt>
                <c:pt idx="2">
                  <c:v>125.825</c:v>
                </c:pt>
                <c:pt idx="3">
                  <c:v>126.45</c:v>
                </c:pt>
                <c:pt idx="4">
                  <c:v>130.4</c:v>
                </c:pt>
                <c:pt idx="5">
                  <c:v>132.17500000000001</c:v>
                </c:pt>
                <c:pt idx="6">
                  <c:v>133</c:v>
                </c:pt>
                <c:pt idx="7">
                  <c:v>134.25</c:v>
                </c:pt>
                <c:pt idx="8">
                  <c:v>131.13749999999999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GLE!$AH$2:$AH$10</c:f>
              <c:strCache>
                <c:ptCount val="9"/>
                <c:pt idx="0">
                  <c:v>FEB</c:v>
                </c:pt>
                <c:pt idx="1">
                  <c:v>APR</c:v>
                </c:pt>
                <c:pt idx="2">
                  <c:v>JUN</c:v>
                </c:pt>
                <c:pt idx="3">
                  <c:v>AUG</c:v>
                </c:pt>
                <c:pt idx="4">
                  <c:v>OCT</c:v>
                </c:pt>
                <c:pt idx="5">
                  <c:v>DEC</c:v>
                </c:pt>
                <c:pt idx="6">
                  <c:v>FEB</c:v>
                </c:pt>
                <c:pt idx="7">
                  <c:v>APR</c:v>
                </c:pt>
                <c:pt idx="8">
                  <c:v>JUN</c:v>
                </c:pt>
              </c:strCache>
            </c:strRef>
          </c:cat>
          <c:val>
            <c:numRef>
              <c:f>GLE!$AL$2:$AL$10</c:f>
              <c:numCache>
                <c:formatCode>General</c:formatCode>
                <c:ptCount val="9"/>
                <c:pt idx="0">
                  <c:v>126.45</c:v>
                </c:pt>
                <c:pt idx="1">
                  <c:v>130.125</c:v>
                </c:pt>
                <c:pt idx="2">
                  <c:v>125.7</c:v>
                </c:pt>
                <c:pt idx="3">
                  <c:v>126.47499999999999</c:v>
                </c:pt>
                <c:pt idx="4">
                  <c:v>130.30000000000001</c:v>
                </c:pt>
                <c:pt idx="5">
                  <c:v>131.875</c:v>
                </c:pt>
                <c:pt idx="6">
                  <c:v>133.05000000000001</c:v>
                </c:pt>
                <c:pt idx="7">
                  <c:v>134.75</c:v>
                </c:pt>
                <c:pt idx="8">
                  <c:v>131.77500000000001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45856"/>
        <c:axId val="167147392"/>
      </c:lineChart>
      <c:catAx>
        <c:axId val="16714585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167147392"/>
        <c:crosses val="autoZero"/>
        <c:auto val="1"/>
        <c:lblAlgn val="ctr"/>
        <c:lblOffset val="100"/>
        <c:noMultiLvlLbl val="0"/>
      </c:catAx>
      <c:valAx>
        <c:axId val="16714739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714585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txPr>
              <a:bodyPr/>
              <a:lstStyle/>
              <a:p>
                <a:pPr>
                  <a:defRPr sz="750"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HE!$AH$2:$AH$10</c:f>
              <c:strCache>
                <c:ptCount val="9"/>
                <c:pt idx="0">
                  <c:v>FEB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OCT</c:v>
                </c:pt>
                <c:pt idx="7">
                  <c:v>DEC</c:v>
                </c:pt>
                <c:pt idx="8">
                  <c:v>FEB</c:v>
                </c:pt>
              </c:strCache>
            </c:strRef>
          </c:cat>
          <c:val>
            <c:numRef>
              <c:f>HE!$AF$2:$AF$10</c:f>
              <c:numCache>
                <c:formatCode>General</c:formatCode>
                <c:ptCount val="9"/>
                <c:pt idx="0">
                  <c:v>86.525000000000006</c:v>
                </c:pt>
                <c:pt idx="1">
                  <c:v>86.325000000000003</c:v>
                </c:pt>
                <c:pt idx="2">
                  <c:v>93.3125</c:v>
                </c:pt>
                <c:pt idx="3">
                  <c:v>94.525000000000006</c:v>
                </c:pt>
                <c:pt idx="4">
                  <c:v>94.1</c:v>
                </c:pt>
                <c:pt idx="5">
                  <c:v>93.9</c:v>
                </c:pt>
                <c:pt idx="6">
                  <c:v>84.875</c:v>
                </c:pt>
                <c:pt idx="7">
                  <c:v>81.6875</c:v>
                </c:pt>
                <c:pt idx="8">
                  <c:v>83.174999999999997</c:v>
                </c:pt>
              </c:numCache>
            </c:numRef>
          </c: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HE!$AH$2:$AH$10</c:f>
              <c:strCache>
                <c:ptCount val="9"/>
                <c:pt idx="0">
                  <c:v>FEB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OCT</c:v>
                </c:pt>
                <c:pt idx="7">
                  <c:v>DEC</c:v>
                </c:pt>
                <c:pt idx="8">
                  <c:v>FEB</c:v>
                </c:pt>
              </c:strCache>
            </c:strRef>
          </c:cat>
          <c:val>
            <c:numRef>
              <c:f>HE!$AL$2:$AL$10</c:f>
              <c:numCache>
                <c:formatCode>General</c:formatCode>
                <c:ptCount val="9"/>
                <c:pt idx="0">
                  <c:v>86.45</c:v>
                </c:pt>
                <c:pt idx="1">
                  <c:v>86.125</c:v>
                </c:pt>
                <c:pt idx="2">
                  <c:v>93.5</c:v>
                </c:pt>
                <c:pt idx="3">
                  <c:v>94.5</c:v>
                </c:pt>
                <c:pt idx="4">
                  <c:v>94.1</c:v>
                </c:pt>
                <c:pt idx="5">
                  <c:v>94</c:v>
                </c:pt>
                <c:pt idx="6">
                  <c:v>85.424999999999997</c:v>
                </c:pt>
                <c:pt idx="7">
                  <c:v>82.1</c:v>
                </c:pt>
                <c:pt idx="8">
                  <c:v>83.65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9392"/>
        <c:axId val="167181312"/>
      </c:lineChart>
      <c:catAx>
        <c:axId val="1671793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en-US"/>
          </a:p>
        </c:txPr>
        <c:crossAx val="167181312"/>
        <c:crosses val="autoZero"/>
        <c:auto val="1"/>
        <c:lblAlgn val="ctr"/>
        <c:lblOffset val="100"/>
        <c:noMultiLvlLbl val="0"/>
      </c:catAx>
      <c:valAx>
        <c:axId val="167181312"/>
        <c:scaling>
          <c:orientation val="minMax"/>
          <c:min val="50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67179392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accent1"/>
      </a:solidFill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106680</xdr:rowOff>
    </xdr:from>
    <xdr:to>
      <xdr:col>18</xdr:col>
      <xdr:colOff>571500</xdr:colOff>
      <xdr:row>52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28</xdr:row>
      <xdr:rowOff>115571</xdr:rowOff>
    </xdr:from>
    <xdr:to>
      <xdr:col>21</xdr:col>
      <xdr:colOff>30480</xdr:colOff>
      <xdr:row>31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571500</xdr:colOff>
      <xdr:row>10</xdr:row>
      <xdr:rowOff>246827</xdr:rowOff>
    </xdr:from>
    <xdr:to>
      <xdr:col>37</xdr:col>
      <xdr:colOff>0</xdr:colOff>
      <xdr:row>26</xdr:row>
      <xdr:rowOff>30480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36</xdr:row>
      <xdr:rowOff>22860</xdr:rowOff>
    </xdr:from>
    <xdr:to>
      <xdr:col>18</xdr:col>
      <xdr:colOff>571500</xdr:colOff>
      <xdr:row>47</xdr:row>
      <xdr:rowOff>118110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7620</xdr:colOff>
      <xdr:row>25</xdr:row>
      <xdr:rowOff>129540</xdr:rowOff>
    </xdr:from>
    <xdr:to>
      <xdr:col>37</xdr:col>
      <xdr:colOff>0</xdr:colOff>
      <xdr:row>29</xdr:row>
      <xdr:rowOff>15240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9071</xdr:colOff>
      <xdr:row>29</xdr:row>
      <xdr:rowOff>24130</xdr:rowOff>
    </xdr:from>
    <xdr:to>
      <xdr:col>37</xdr:col>
      <xdr:colOff>0</xdr:colOff>
      <xdr:row>31</xdr:row>
      <xdr:rowOff>154214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15239</xdr:colOff>
      <xdr:row>25</xdr:row>
      <xdr:rowOff>121920</xdr:rowOff>
    </xdr:from>
    <xdr:to>
      <xdr:col>21</xdr:col>
      <xdr:colOff>7620</xdr:colOff>
      <xdr:row>29</xdr:row>
      <xdr:rowOff>11430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10270</xdr:colOff>
      <xdr:row>11</xdr:row>
      <xdr:rowOff>7620</xdr:rowOff>
    </xdr:from>
    <xdr:to>
      <xdr:col>21</xdr:col>
      <xdr:colOff>7620</xdr:colOff>
      <xdr:row>25</xdr:row>
      <xdr:rowOff>129540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188595</xdr:colOff>
      <xdr:row>52</xdr:row>
      <xdr:rowOff>22860</xdr:rowOff>
    </xdr:from>
    <xdr:to>
      <xdr:col>6</xdr:col>
      <xdr:colOff>92705</xdr:colOff>
      <xdr:row>52</xdr:row>
      <xdr:rowOff>137146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31595" y="7642860"/>
          <a:ext cx="483230" cy="114286"/>
        </a:xfrm>
        <a:prstGeom prst="rect">
          <a:avLst/>
        </a:prstGeom>
      </xdr:spPr>
    </xdr:pic>
    <xdr:clientData/>
  </xdr:twoCellAnchor>
  <xdr:oneCellAnchor>
    <xdr:from>
      <xdr:col>1</xdr:col>
      <xdr:colOff>22860</xdr:colOff>
      <xdr:row>47</xdr:row>
      <xdr:rowOff>76200</xdr:rowOff>
    </xdr:from>
    <xdr:ext cx="6781800" cy="220980"/>
    <xdr:sp macro="" textlink="">
      <xdr:nvSpPr>
        <xdr:cNvPr id="49" name="TextBox 48"/>
        <xdr:cNvSpPr txBox="1"/>
      </xdr:nvSpPr>
      <xdr:spPr>
        <a:xfrm>
          <a:off x="41910" y="7162800"/>
          <a:ext cx="6781800" cy="2209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Spread Change</a:t>
          </a:r>
        </a:p>
      </xdr:txBody>
    </xdr:sp>
    <xdr:clientData/>
  </xdr:oneCellAnchor>
  <xdr:twoCellAnchor>
    <xdr:from>
      <xdr:col>19</xdr:col>
      <xdr:colOff>1</xdr:colOff>
      <xdr:row>38</xdr:row>
      <xdr:rowOff>22860</xdr:rowOff>
    </xdr:from>
    <xdr:to>
      <xdr:col>36</xdr:col>
      <xdr:colOff>562430</xdr:colOff>
      <xdr:row>45</xdr:row>
      <xdr:rowOff>22860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571500</xdr:colOff>
      <xdr:row>45</xdr:row>
      <xdr:rowOff>30480</xdr:rowOff>
    </xdr:from>
    <xdr:to>
      <xdr:col>36</xdr:col>
      <xdr:colOff>562429</xdr:colOff>
      <xdr:row>48</xdr:row>
      <xdr:rowOff>110490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571500</xdr:colOff>
      <xdr:row>48</xdr:row>
      <xdr:rowOff>106680</xdr:rowOff>
    </xdr:from>
    <xdr:to>
      <xdr:col>37</xdr:col>
      <xdr:colOff>0</xdr:colOff>
      <xdr:row>52</xdr:row>
      <xdr:rowOff>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</xdr:col>
      <xdr:colOff>411479</xdr:colOff>
      <xdr:row>11</xdr:row>
      <xdr:rowOff>167639</xdr:rowOff>
    </xdr:from>
    <xdr:to>
      <xdr:col>5</xdr:col>
      <xdr:colOff>120063</xdr:colOff>
      <xdr:row>12</xdr:row>
      <xdr:rowOff>144793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1039" y="131063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365759</xdr:colOff>
      <xdr:row>12</xdr:row>
      <xdr:rowOff>15239</xdr:rowOff>
    </xdr:from>
    <xdr:to>
      <xdr:col>24</xdr:col>
      <xdr:colOff>74343</xdr:colOff>
      <xdr:row>12</xdr:row>
      <xdr:rowOff>167653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36279" y="133349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36</xdr:row>
      <xdr:rowOff>57149</xdr:rowOff>
    </xdr:from>
    <xdr:to>
      <xdr:col>2</xdr:col>
      <xdr:colOff>533448</xdr:colOff>
      <xdr:row>37</xdr:row>
      <xdr:rowOff>19063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2889" y="5276849"/>
          <a:ext cx="565834" cy="15241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0.00162</cdr:y>
    </cdr:from>
    <cdr:to>
      <cdr:x>0.99026</cdr:x>
      <cdr:y>0.11812</cdr:y>
    </cdr:to>
    <cdr:sp macro="" textlink="">
      <cdr:nvSpPr>
        <cdr:cNvPr id="2" name="TextBox 48"/>
        <cdr:cNvSpPr txBox="1"/>
      </cdr:nvSpPr>
      <cdr:spPr>
        <a:xfrm xmlns:a="http://schemas.openxmlformats.org/drawingml/2006/main">
          <a:off x="0" y="3175"/>
          <a:ext cx="6781800" cy="2286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Feeder Cattle minus  Live</a:t>
          </a:r>
          <a:r>
            <a:rPr lang="en-US" sz="800" b="1" baseline="0">
              <a:solidFill>
                <a:schemeClr val="bg1"/>
              </a:solidFill>
              <a:latin typeface="Tahoma" pitchFamily="34" charset="0"/>
              <a:cs typeface="Tahoma" pitchFamily="34" charset="0"/>
            </a:rPr>
            <a:t> Cattle Spread</a:t>
          </a:r>
          <a:endParaRPr lang="en-US" sz="800" b="1">
            <a:solidFill>
              <a:schemeClr val="bg1"/>
            </a:solidFill>
            <a:latin typeface="Tahoma" pitchFamily="34" charset="0"/>
            <a:cs typeface="Tahom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C69"/>
  <sheetViews>
    <sheetView showGridLines="0" showRowColHeaders="0" tabSelected="1" topLeftCell="A4" zoomScale="105" zoomScaleNormal="105" workbookViewId="0">
      <selection activeCell="AJ36" sqref="AJ36"/>
    </sheetView>
  </sheetViews>
  <sheetFormatPr defaultColWidth="9" defaultRowHeight="12.75" x14ac:dyDescent="0.2"/>
  <cols>
    <col min="1" max="1" width="0.25" style="1" customWidth="1"/>
    <col min="2" max="2" width="3.625" style="1" customWidth="1"/>
    <col min="3" max="3" width="7.625" style="1" customWidth="1"/>
    <col min="4" max="4" width="10.75" style="1" hidden="1" customWidth="1"/>
    <col min="5" max="5" width="3.625" style="1" customWidth="1"/>
    <col min="6" max="6" width="7.625" style="1" customWidth="1"/>
    <col min="7" max="7" width="3.625" style="1" customWidth="1"/>
    <col min="8" max="8" width="7.625" style="1" customWidth="1"/>
    <col min="9" max="9" width="3.625" style="1" customWidth="1"/>
    <col min="10" max="10" width="7.625" style="1" customWidth="1"/>
    <col min="11" max="11" width="3.625" style="1" customWidth="1"/>
    <col min="12" max="12" width="7.625" style="1" customWidth="1"/>
    <col min="13" max="13" width="3.625" style="1" customWidth="1"/>
    <col min="14" max="14" width="7.625" style="1" customWidth="1"/>
    <col min="15" max="15" width="10.75" style="1" hidden="1" customWidth="1"/>
    <col min="16" max="16" width="3.625" style="1" customWidth="1"/>
    <col min="17" max="17" width="7.625" style="1" customWidth="1"/>
    <col min="18" max="18" width="3.625" style="1" customWidth="1"/>
    <col min="19" max="19" width="7.625" style="1" customWidth="1"/>
    <col min="20" max="20" width="3.625" style="1" customWidth="1"/>
    <col min="21" max="21" width="7.625" style="1" customWidth="1"/>
    <col min="22" max="22" width="3.625" style="1" customWidth="1"/>
    <col min="23" max="23" width="7.625" style="1" customWidth="1"/>
    <col min="24" max="24" width="3.625" style="1" customWidth="1"/>
    <col min="25" max="25" width="7.625" style="1" customWidth="1"/>
    <col min="26" max="26" width="3.625" style="1" customWidth="1"/>
    <col min="27" max="27" width="7.625" style="1" customWidth="1"/>
    <col min="28" max="28" width="3.625" style="1" customWidth="1"/>
    <col min="29" max="29" width="7.625" style="1" customWidth="1"/>
    <col min="30" max="30" width="3.625" style="1" customWidth="1"/>
    <col min="31" max="31" width="7.625" style="1" customWidth="1"/>
    <col min="32" max="32" width="3.625" style="1" customWidth="1"/>
    <col min="33" max="33" width="7.625" style="1" customWidth="1"/>
    <col min="34" max="34" width="3.625" style="1" customWidth="1"/>
    <col min="35" max="35" width="7.625" style="1" customWidth="1"/>
    <col min="36" max="36" width="3.625" style="1" customWidth="1"/>
    <col min="37" max="37" width="7.5" style="1" customWidth="1"/>
    <col min="38" max="41" width="10.75" style="103" customWidth="1"/>
    <col min="42" max="54" width="9" style="103"/>
    <col min="55" max="16384" width="9" style="1"/>
  </cols>
  <sheetData>
    <row r="1" spans="2:55" ht="9" hidden="1" customHeight="1" x14ac:dyDescent="0.2"/>
    <row r="2" spans="2:55" ht="9" hidden="1" customHeight="1" thickBot="1" x14ac:dyDescent="0.25"/>
    <row r="3" spans="2:55" ht="10.9" customHeight="1" thickBot="1" x14ac:dyDescent="0.25">
      <c r="B3" s="33"/>
      <c r="C3" s="124"/>
      <c r="D3" s="124"/>
      <c r="E3" s="124"/>
      <c r="F3" s="124"/>
      <c r="G3" s="33"/>
      <c r="H3" s="124"/>
      <c r="I3" s="124"/>
      <c r="J3" s="124"/>
      <c r="K3" s="124"/>
      <c r="L3" s="124"/>
      <c r="M3" s="33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33"/>
      <c r="Y3" s="124"/>
      <c r="Z3" s="124"/>
      <c r="AA3" s="124"/>
      <c r="AB3" s="124"/>
      <c r="AC3" s="124"/>
      <c r="AD3" s="33"/>
      <c r="AE3" s="124"/>
      <c r="AF3" s="124"/>
      <c r="AG3" s="124"/>
      <c r="AH3" s="124"/>
      <c r="AI3" s="124"/>
      <c r="AJ3" s="124"/>
      <c r="AK3" s="124"/>
      <c r="AL3" s="105"/>
      <c r="AM3" s="105"/>
    </row>
    <row r="4" spans="2:55" ht="10.15" customHeight="1" x14ac:dyDescent="0.2">
      <c r="B4" s="128" t="s">
        <v>14</v>
      </c>
      <c r="C4" s="129"/>
      <c r="D4" s="36"/>
      <c r="E4" s="136"/>
      <c r="F4" s="132" t="str">
        <f>"CQG Trader: "&amp;RTD("cqg.rtd", ,"ContractData","F.GLE?1", "LongDescription")</f>
        <v>CQG Trader: Live Cattle (Globex): February 2013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3"/>
      <c r="V4" s="128" t="s">
        <v>15</v>
      </c>
      <c r="W4" s="129"/>
      <c r="X4" s="132" t="str">
        <f>"CQG Trader: "&amp;RTD("cqg.rtd", ,"ContractData","F.GF?1", "LongDescription")</f>
        <v>CQG Trader: Feeder Cattle (Globex): March 2013</v>
      </c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3"/>
      <c r="AL4" s="105"/>
      <c r="AM4" s="105"/>
    </row>
    <row r="5" spans="2:55" ht="10.15" customHeight="1" thickBot="1" x14ac:dyDescent="0.25">
      <c r="B5" s="130"/>
      <c r="C5" s="131"/>
      <c r="D5" s="37"/>
      <c r="E5" s="137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5"/>
      <c r="V5" s="130"/>
      <c r="W5" s="131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5"/>
      <c r="AL5" s="105"/>
      <c r="AM5" s="105"/>
      <c r="BB5" s="100"/>
      <c r="BC5" s="99"/>
    </row>
    <row r="6" spans="2:55" ht="14.25" hidden="1" customHeight="1" thickBot="1" x14ac:dyDescent="0.25">
      <c r="B6" s="125" t="str">
        <f>RTD("cqg.rtd", ,"ContractData",GLE!Q2, "Symbol")</f>
        <v>GLEG3</v>
      </c>
      <c r="C6" s="125"/>
      <c r="D6" s="38"/>
      <c r="E6" s="125" t="str">
        <f>RTD("cqg.rtd", ,"ContractData",GLE!Q3, "Symbol")</f>
        <v>GLEJ3</v>
      </c>
      <c r="F6" s="125"/>
      <c r="G6" s="125" t="str">
        <f>RTD("cqg.rtd", ,"ContractData",GLE!Q4, "Symbol")</f>
        <v>GLEM3</v>
      </c>
      <c r="H6" s="125"/>
      <c r="I6" s="125" t="str">
        <f>RTD("cqg.rtd", ,"ContractData",GLE!Q5, "Symbol")</f>
        <v>GLEQ3</v>
      </c>
      <c r="J6" s="125"/>
      <c r="K6" s="125" t="str">
        <f>RTD("cqg.rtd", ,"ContractData",GLE!Q6, "Symbol")</f>
        <v>GLEV3</v>
      </c>
      <c r="L6" s="125"/>
      <c r="M6" s="125" t="str">
        <f>RTD("cqg.rtd", ,"ContractData",GLE!Q7, "Symbol")</f>
        <v>GLEZ3</v>
      </c>
      <c r="N6" s="125"/>
      <c r="O6" s="39" t="str">
        <f>RTD("cqg.rtd", ,"ContractData",GLE!Q8, "Symbol")</f>
        <v>GLEG4</v>
      </c>
      <c r="P6" s="125" t="str">
        <f>RTD("cqg.rtd", ,"ContractData",GLE!Q8, "Symbol")</f>
        <v>GLEG4</v>
      </c>
      <c r="Q6" s="125"/>
      <c r="R6" s="125" t="str">
        <f>RTD("cqg.rtd", ,"ContractData",GLE!Q9, "Symbol")</f>
        <v>GLEJ4</v>
      </c>
      <c r="S6" s="125"/>
      <c r="T6" s="125" t="str">
        <f>RTD("cqg.rtd", ,"ContractData",GLE!Q10, "Symbol")</f>
        <v>GLEM4</v>
      </c>
      <c r="U6" s="125"/>
      <c r="V6" s="151" t="str">
        <f>RTD("cqg.rtd", ,"ContractData",GF!Q2, "Symbol")</f>
        <v>GFH3</v>
      </c>
      <c r="W6" s="152"/>
      <c r="X6" s="125" t="str">
        <f>RTD("cqg.rtd", ,"ContractData","GF?2", "Symbol")</f>
        <v>GFJ3</v>
      </c>
      <c r="Y6" s="125"/>
      <c r="Z6" s="125" t="str">
        <f>RTD("cqg.rtd", ,"ContractData","GF?3", "Symbol")</f>
        <v>GFK3</v>
      </c>
      <c r="AA6" s="125"/>
      <c r="AB6" s="125" t="str">
        <f>RTD("cqg.rtd", ,"ContractData","GF?4", "Symbol")</f>
        <v>GFQ3</v>
      </c>
      <c r="AC6" s="125"/>
      <c r="AD6" s="125" t="str">
        <f>RTD("cqg.rtd", ,"ContractData","GF?5", "Symbol")</f>
        <v>GFU3</v>
      </c>
      <c r="AE6" s="125"/>
      <c r="AF6" s="125" t="str">
        <f>RTD("cqg.rtd", ,"ContractData","GF?6", "Symbol")</f>
        <v>GFV3</v>
      </c>
      <c r="AG6" s="125"/>
      <c r="AH6" s="125" t="str">
        <f>RTD("cqg.rtd", ,"ContractData","GF?7", "Symbol")</f>
        <v>GFX3</v>
      </c>
      <c r="AI6" s="125"/>
      <c r="AJ6" s="125" t="str">
        <f>RTD("cqg.rtd", ,"ContractData","GF?8", "Symbol")</f>
        <v>GFF4</v>
      </c>
      <c r="AK6" s="146"/>
      <c r="AL6" s="105"/>
      <c r="AM6" s="105"/>
      <c r="BB6" s="100"/>
      <c r="BC6" s="99"/>
    </row>
    <row r="7" spans="2:55" ht="15" customHeight="1" thickBot="1" x14ac:dyDescent="0.25">
      <c r="B7" s="140" t="str">
        <f>GLE!AH2</f>
        <v>FEB</v>
      </c>
      <c r="C7" s="141"/>
      <c r="D7" s="62"/>
      <c r="E7" s="126" t="str">
        <f>GLE!AH3</f>
        <v>APR</v>
      </c>
      <c r="F7" s="126"/>
      <c r="G7" s="126" t="str">
        <f>GLE!AH4</f>
        <v>JUN</v>
      </c>
      <c r="H7" s="126"/>
      <c r="I7" s="126" t="str">
        <f>GLE!AH5</f>
        <v>AUG</v>
      </c>
      <c r="J7" s="126"/>
      <c r="K7" s="126" t="str">
        <f>GLE!AH6</f>
        <v>OCT</v>
      </c>
      <c r="L7" s="126"/>
      <c r="M7" s="126" t="str">
        <f>GLE!AH7</f>
        <v>DEC</v>
      </c>
      <c r="N7" s="126"/>
      <c r="O7" s="63" t="str">
        <f>RIGHT(RTD("cqg.rtd", ,"ContractData",O6, "LongDescription"),6)</f>
        <v>y 2014</v>
      </c>
      <c r="P7" s="126" t="str">
        <f>GLE!AH8</f>
        <v>FEB</v>
      </c>
      <c r="Q7" s="126"/>
      <c r="R7" s="126" t="str">
        <f>GLE!AH9</f>
        <v>APR</v>
      </c>
      <c r="S7" s="126"/>
      <c r="T7" s="126" t="str">
        <f>GLE!AH10</f>
        <v>JUN</v>
      </c>
      <c r="U7" s="126"/>
      <c r="V7" s="127" t="str">
        <f>GF!AH2</f>
        <v>MAR</v>
      </c>
      <c r="W7" s="126"/>
      <c r="X7" s="127" t="str">
        <f>GF!AH3</f>
        <v>APR</v>
      </c>
      <c r="Y7" s="126"/>
      <c r="Z7" s="127" t="str">
        <f>GF!AH4</f>
        <v>MAY</v>
      </c>
      <c r="AA7" s="126"/>
      <c r="AB7" s="127" t="str">
        <f>GF!AH5</f>
        <v>AUG</v>
      </c>
      <c r="AC7" s="126"/>
      <c r="AD7" s="127" t="str">
        <f>GF!AH6</f>
        <v>SEP</v>
      </c>
      <c r="AE7" s="126"/>
      <c r="AF7" s="127" t="str">
        <f>GF!AH7</f>
        <v>OCT</v>
      </c>
      <c r="AG7" s="126"/>
      <c r="AH7" s="127" t="str">
        <f>GF!AH8</f>
        <v>NOV</v>
      </c>
      <c r="AI7" s="126"/>
      <c r="AJ7" s="127" t="str">
        <f>GF!AH9</f>
        <v>JAN</v>
      </c>
      <c r="AK7" s="147"/>
      <c r="AL7" s="105"/>
      <c r="AM7" s="105"/>
      <c r="AP7" s="106">
        <v>0</v>
      </c>
      <c r="AQ7" s="106" t="s">
        <v>10</v>
      </c>
      <c r="BB7" s="100"/>
      <c r="BC7" s="99"/>
    </row>
    <row r="8" spans="2:55" s="32" customFormat="1" ht="15" customHeight="1" thickBot="1" x14ac:dyDescent="0.3">
      <c r="B8" s="67">
        <f>RTD("cqg.rtd", ,"ContractData", GLE!Q2, "MT_LastASKVolume")</f>
        <v>14</v>
      </c>
      <c r="C8" s="68" t="str">
        <f>TEXT(RTD("cqg.rtd", ,"ContractData",GLE!Q2,"Ask",,"T"),"#.000")&amp;" "&amp;"A"</f>
        <v>126.950 A</v>
      </c>
      <c r="D8" s="69"/>
      <c r="E8" s="70">
        <f>RTD("cqg.rtd", ,"ContractData", "F.GLE?2", "MT_LastASKVolume")</f>
        <v>16</v>
      </c>
      <c r="F8" s="68" t="str">
        <f>TEXT(RTD("cqg.rtd", ,"ContractData","GLE?2","Ask",,"T"),"#.000")&amp;" "&amp;"A"</f>
        <v>130.300 A</v>
      </c>
      <c r="G8" s="70">
        <f>RTD("cqg.rtd", ,"ContractData", "F.GLE?3", "MT_LastASKVolume")</f>
        <v>1</v>
      </c>
      <c r="H8" s="68" t="str">
        <f>TEXT(RTD("cqg.rtd", ,"ContractData","GLE?3","Ask",,"T"),"#.000")&amp;" "&amp;"A"</f>
        <v>125.825 A</v>
      </c>
      <c r="I8" s="70">
        <f>RTD("cqg.rtd", ,"ContractData", "F.GLE?4", "MT_LastASKVolume")</f>
        <v>23</v>
      </c>
      <c r="J8" s="68" t="str">
        <f>TEXT(RTD("cqg.rtd", ,"ContractData","GLE?4","Ask",,"T"),"#.000")&amp;" "&amp;"A"</f>
        <v>126.475 A</v>
      </c>
      <c r="K8" s="70">
        <f>RTD("cqg.rtd", ,"ContractData", "F.GLE?5", "MT_LastASKVolume")</f>
        <v>2</v>
      </c>
      <c r="L8" s="68" t="str">
        <f>TEXT(RTD("cqg.rtd", ,"ContractData","GLE?5","Ask",,"T"),"#.000")&amp;" "&amp;"A"</f>
        <v>130.425 A</v>
      </c>
      <c r="M8" s="70">
        <f>RTD("cqg.rtd", ,"ContractData", "F.GLE?6", "MT_LastASKVolume")</f>
        <v>1</v>
      </c>
      <c r="N8" s="68" t="str">
        <f>TEXT(RTD("cqg.rtd", ,"ContractData","GLE?6","Ask",,"T"),"#.000")&amp;" "&amp;"A"</f>
        <v>132.175 A</v>
      </c>
      <c r="O8" s="69" t="str">
        <f>TEXT(RTD("cqg.rtd",,"ContractData",O6,GLE!$T$1,,"T"),"#.000")&amp;" "&amp;"A"</f>
        <v>133.075 A</v>
      </c>
      <c r="P8" s="70">
        <f>RTD("cqg.rtd", ,"ContractData", "F.GLE?7", "MT_LastASKVolume")</f>
        <v>2</v>
      </c>
      <c r="Q8" s="68" t="str">
        <f>TEXT(RTD("cqg.rtd", ,"ContractData","GLE?7","Ask",,"T"),"#.000")&amp;" "&amp;"A"</f>
        <v>133.075 A</v>
      </c>
      <c r="R8" s="70">
        <f>RTD("cqg.rtd", ,"ContractData", "F.GLE?8", "MT_LastASKVolume")</f>
        <v>1</v>
      </c>
      <c r="S8" s="68" t="str">
        <f>TEXT(RTD("cqg.rtd", ,"ContractData","GLE?8","Ask",,"T"),"#.000")&amp;" "&amp;"A"</f>
        <v>134.500 A</v>
      </c>
      <c r="T8" s="70">
        <f>RTD("cqg.rtd", ,"ContractData", "F.GLE?9", "MT_LastASKVolume")</f>
        <v>1</v>
      </c>
      <c r="U8" s="68" t="str">
        <f>TEXT(RTD("cqg.rtd", ,"ContractData","GLE?9","Ask",,"T"),"#.000")&amp;" "&amp;"A"</f>
        <v>131.975 A</v>
      </c>
      <c r="V8" s="70">
        <f>RTD("cqg.rtd", ,"ContractData",GF!Q2, "MT_LastASKVolume")</f>
        <v>7</v>
      </c>
      <c r="W8" s="68" t="str">
        <f>TEXT(RTD("cqg.rtd", ,"ContractData",GF!Q2,"Ask",,"T"),"#.000")&amp;" "&amp;"A"</f>
        <v>144.575 A</v>
      </c>
      <c r="X8" s="70">
        <f>RTD("cqg.rtd", ,"ContractData", "F.GLE?2", "MT_LastASKVolume")</f>
        <v>16</v>
      </c>
      <c r="Y8" s="68" t="str">
        <f>TEXT(RTD("cqg.rtd", ,"ContractData","GF?2","Ask",,"T"),"#.000")&amp;" "&amp;"A"</f>
        <v>148.100 A</v>
      </c>
      <c r="Z8" s="70">
        <f>RTD("cqg.rtd", ,"ContractData", "F.GLE?3", "MT_LastASKVolume")</f>
        <v>1</v>
      </c>
      <c r="AA8" s="68" t="str">
        <f>TEXT(RTD("cqg.rtd", ,"ContractData","GF?3","Ask",,"T"),"#.000")&amp;" "&amp;"A"</f>
        <v>150.825 A</v>
      </c>
      <c r="AB8" s="70">
        <f>RTD("cqg.rtd", ,"ContractData", "F.GLE?4", "MT_LastASKVolume")</f>
        <v>23</v>
      </c>
      <c r="AC8" s="68" t="str">
        <f>TEXT(RTD("cqg.rtd", ,"ContractData","GF?4","Ask",,"T"),"#.000")&amp;" "&amp;"A"</f>
        <v>157.175 A</v>
      </c>
      <c r="AD8" s="70">
        <f>RTD("cqg.rtd", ,"ContractData", "F.GLE?5", "MT_LastASKVolume")</f>
        <v>2</v>
      </c>
      <c r="AE8" s="68" t="str">
        <f>TEXT(RTD("cqg.rtd", ,"ContractData","GF?5","Ask",,"T"),"#.000")&amp;" "&amp;"A"</f>
        <v>158.550 A</v>
      </c>
      <c r="AF8" s="70">
        <f>RTD("cqg.rtd", ,"ContractData", "F.GLE?6", "MT_LastASKVolume")</f>
        <v>1</v>
      </c>
      <c r="AG8" s="68" t="str">
        <f>TEXT(RTD("cqg.rtd", ,"ContractData","GF?6","Ask",,"T"),"#.000")&amp;" "&amp;"A"</f>
        <v>159.600 A</v>
      </c>
      <c r="AH8" s="70">
        <f>RTD("cqg.rtd", ,"ContractData", "F.GLE?7", "MT_LastASKVolume")</f>
        <v>2</v>
      </c>
      <c r="AI8" s="68" t="str">
        <f>TEXT(RTD("cqg.rtd", ,"ContractData","GF?7","Ask",,"T"),"#.000")&amp;" "&amp;"A"</f>
        <v>160.450 A</v>
      </c>
      <c r="AJ8" s="70">
        <f>RTD("cqg.rtd", ,"ContractData", "F.GLE?8", "MT_LastASKVolume")</f>
        <v>1</v>
      </c>
      <c r="AK8" s="71" t="str">
        <f>TEXT(RTD("cqg.rtd", ,"ContractData","GF?8","Ask",,"T"),"#.000")&amp;" "&amp;"A"</f>
        <v>160.850 A</v>
      </c>
      <c r="AL8" s="105"/>
      <c r="AM8" s="105"/>
      <c r="AN8" s="103"/>
      <c r="AO8" s="103"/>
      <c r="AP8" s="103">
        <v>1</v>
      </c>
      <c r="AQ8" s="103" t="s">
        <v>11</v>
      </c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0"/>
      <c r="BC8" s="101"/>
    </row>
    <row r="9" spans="2:55" s="32" customFormat="1" ht="15" hidden="1" customHeight="1" thickBot="1" x14ac:dyDescent="0.3">
      <c r="B9" s="72"/>
      <c r="C9" s="73"/>
      <c r="D9" s="74"/>
      <c r="E9" s="75"/>
      <c r="F9" s="73"/>
      <c r="G9" s="75"/>
      <c r="H9" s="73"/>
      <c r="I9" s="75"/>
      <c r="J9" s="73"/>
      <c r="K9" s="75"/>
      <c r="L9" s="73"/>
      <c r="M9" s="75"/>
      <c r="N9" s="73"/>
      <c r="O9" s="74"/>
      <c r="P9" s="75"/>
      <c r="Q9" s="73"/>
      <c r="R9" s="75"/>
      <c r="S9" s="73"/>
      <c r="T9" s="75"/>
      <c r="U9" s="73"/>
      <c r="V9" s="75"/>
      <c r="W9" s="73"/>
      <c r="X9" s="75"/>
      <c r="Y9" s="73"/>
      <c r="Z9" s="75"/>
      <c r="AA9" s="73"/>
      <c r="AB9" s="75"/>
      <c r="AC9" s="73"/>
      <c r="AD9" s="75"/>
      <c r="AE9" s="73"/>
      <c r="AF9" s="75"/>
      <c r="AG9" s="73"/>
      <c r="AH9" s="75"/>
      <c r="AI9" s="73"/>
      <c r="AJ9" s="75"/>
      <c r="AK9" s="76"/>
      <c r="AL9" s="105"/>
      <c r="AM9" s="105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0"/>
      <c r="BC9" s="101"/>
    </row>
    <row r="10" spans="2:55" s="32" customFormat="1" ht="15" customHeight="1" thickBot="1" x14ac:dyDescent="0.3">
      <c r="B10" s="77">
        <f>RTD("cqg.rtd", ,"ContractData", GLE!Q2, "MT_LastbIDVolume")</f>
        <v>14</v>
      </c>
      <c r="C10" s="78" t="str">
        <f>TEXT(RTD("cqg.rtd", ,"ContractData",GLE!Q2,"Bid",,"T"),"#.000")&amp;" "&amp;"B"</f>
        <v>126.925 B</v>
      </c>
      <c r="D10" s="79"/>
      <c r="E10" s="80">
        <f>RTD("cqg.rtd", ,"ContractData", "F.GLE?2", "MT_LastbIDVolume")</f>
        <v>10</v>
      </c>
      <c r="F10" s="78" t="str">
        <f>TEXT(RTD("cqg.rtd", ,"ContractData","GLE?2","Bid",,"T"),"#.000")&amp;" "&amp;"B"</f>
        <v>130.275 B</v>
      </c>
      <c r="G10" s="80">
        <f>RTD("cqg.rtd", ,"ContractData", "F.GLE?3", "MT_LastbIDVolume")</f>
        <v>17</v>
      </c>
      <c r="H10" s="78" t="str">
        <f>TEXT(RTD("cqg.rtd", ,"ContractData","GLE?3","Bid",,"T"),"#.000")&amp;" "&amp;"B"</f>
        <v>125.800 B</v>
      </c>
      <c r="I10" s="80">
        <f>RTD("cqg.rtd", ,"ContractData", "F.GLE?4", "MT_LastbIDVolume")</f>
        <v>10</v>
      </c>
      <c r="J10" s="78" t="str">
        <f>TEXT(RTD("cqg.rtd", ,"ContractData","GLE?4","Bid",,"T"),"#.000")&amp;" "&amp;"B"</f>
        <v>126.425 B</v>
      </c>
      <c r="K10" s="80">
        <f>RTD("cqg.rtd", ,"ContractData", "F.GLE?5", "MT_LastbIDVolume")</f>
        <v>16</v>
      </c>
      <c r="L10" s="78" t="str">
        <f>TEXT(RTD("cqg.rtd", ,"ContractData","GLE?5","Bid",,"T"),"#.000")&amp;" "&amp;"B"</f>
        <v>130.375 B</v>
      </c>
      <c r="M10" s="80">
        <f>RTD("cqg.rtd", ,"ContractData", "F.GLE?6", "MT_LastbIDVolume")</f>
        <v>4</v>
      </c>
      <c r="N10" s="78" t="str">
        <f>TEXT(RTD("cqg.rtd", ,"ContractData","GLE?6","Bid",,"T"),"#.000")&amp;" "&amp;"B"</f>
        <v>132.150 B</v>
      </c>
      <c r="O10" s="79" t="str">
        <f>TEXT(RTD("cqg.rtd",,"ContractData",O6,GLE!$S$1,,"T"),"#.000")&amp;" "&amp;"B"</f>
        <v>133.000 B</v>
      </c>
      <c r="P10" s="80">
        <f>RTD("cqg.rtd", ,"ContractData", "F.GLE?7", "MT_LastbIDVolume")</f>
        <v>4</v>
      </c>
      <c r="Q10" s="78" t="str">
        <f>TEXT(RTD("cqg.rtd", ,"ContractData","GLE?7","Bid",,"T"),"#.000")&amp;" "&amp;"B"</f>
        <v>133.000 B</v>
      </c>
      <c r="R10" s="80">
        <f>RTD("cqg.rtd", ,"ContractData", "F.GLE?8", "MT_LastbIDVolume")</f>
        <v>1</v>
      </c>
      <c r="S10" s="78" t="str">
        <f>TEXT(RTD("cqg.rtd", ,"ContractData","GLE?8","Bid",,"T"),"#.000")&amp;" "&amp;"B"</f>
        <v>134.250 B</v>
      </c>
      <c r="T10" s="80">
        <f>RTD("cqg.rtd", ,"ContractData", "F.GLE?9", "MT_LastbIDVolume")</f>
        <v>3</v>
      </c>
      <c r="U10" s="78" t="str">
        <f>TEXT(RTD("cqg.rtd", ,"ContractData","GLE?9","Bid",,"T"),"#.000")&amp;" "&amp;"B"</f>
        <v>130.300 B</v>
      </c>
      <c r="V10" s="80">
        <f>RTD("cqg.rtd", ,"ContractData",GF!Q2, "MT_LastbIDVolume")</f>
        <v>2</v>
      </c>
      <c r="W10" s="78" t="str">
        <f>TEXT(RTD("cqg.rtd", ,"ContractData",GF!Q2,"Bid",,"T"),"#.000")&amp;" "&amp;"B"</f>
        <v>144.525 B</v>
      </c>
      <c r="X10" s="80">
        <f>RTD("cqg.rtd", ,"ContractData", "F.GLE?2", "MT_LastbIDVolume")</f>
        <v>10</v>
      </c>
      <c r="Y10" s="78" t="str">
        <f>TEXT(RTD("cqg.rtd", ,"ContractData","GF?2","Bid",,"T"),"#.000")&amp;" "&amp;"B"</f>
        <v>148.025 B</v>
      </c>
      <c r="Z10" s="80">
        <f>RTD("cqg.rtd", ,"ContractData", "F.GLE?3", "MT_LastbIDVolume")</f>
        <v>17</v>
      </c>
      <c r="AA10" s="78" t="str">
        <f>TEXT(RTD("cqg.rtd", ,"ContractData","GF?3","Bid",,"T"),"#.000")&amp;" "&amp;"B"</f>
        <v>150.700 B</v>
      </c>
      <c r="AB10" s="80">
        <f>RTD("cqg.rtd", ,"ContractData", "F.GLE?4", "MT_LastbIDVolume")</f>
        <v>10</v>
      </c>
      <c r="AC10" s="78" t="str">
        <f>TEXT(RTD("cqg.rtd", ,"ContractData","GF?4","Bid",,"T"),"#.000")&amp;" "&amp;"B"</f>
        <v>157.075 B</v>
      </c>
      <c r="AD10" s="80">
        <f>RTD("cqg.rtd", ,"ContractData", "F.GLE?5", "MT_LastbIDVolume")</f>
        <v>16</v>
      </c>
      <c r="AE10" s="78" t="str">
        <f>TEXT(RTD("cqg.rtd", ,"ContractData","GF?5","Bid",,"T"),"#.000")&amp;" "&amp;"B"</f>
        <v>158.450 B</v>
      </c>
      <c r="AF10" s="80">
        <f>RTD("cqg.rtd", ,"ContractData", "F.GLE?6", "MT_LastbIDVolume")</f>
        <v>4</v>
      </c>
      <c r="AG10" s="78" t="str">
        <f>TEXT(RTD("cqg.rtd", ,"ContractData","GF?6","Bid",,"T"),"#.000")&amp;" "&amp;"B"</f>
        <v>159.350 B</v>
      </c>
      <c r="AH10" s="80">
        <f>RTD("cqg.rtd", ,"ContractData", "F.GLE?7", "MT_LastbIDVolume")</f>
        <v>4</v>
      </c>
      <c r="AI10" s="78" t="str">
        <f>TEXT(RTD("cqg.rtd", ,"ContractData","GF?7","Bid",,"T"),"#.000")&amp;" "&amp;"B"</f>
        <v>160.175 B</v>
      </c>
      <c r="AJ10" s="80">
        <f>RTD("cqg.rtd", ,"ContractData", "F.GLE?8", "MT_LastbIDVolume")</f>
        <v>1</v>
      </c>
      <c r="AK10" s="81" t="str">
        <f>TEXT(RTD("cqg.rtd", ,"ContractData","GF?8","Bid",,"T"),"#.000")&amp;" "&amp;"B"</f>
        <v>160.350 B</v>
      </c>
      <c r="AL10" s="105"/>
      <c r="AM10" s="105"/>
      <c r="AN10" s="103"/>
      <c r="AO10" s="103"/>
      <c r="AP10" s="103">
        <v>2</v>
      </c>
      <c r="AQ10" s="103" t="s">
        <v>12</v>
      </c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0"/>
      <c r="BC10" s="101"/>
    </row>
    <row r="11" spans="2:55" s="31" customFormat="1" ht="15" customHeight="1" thickBot="1" x14ac:dyDescent="0.3">
      <c r="B11" s="155" t="str">
        <f>TEXT(RTD("cqg.rtd", ,"ContractData","GLE?1","LastTradeorSettle",,"T"),"#.000")&amp;" "&amp;"L"</f>
        <v>126.925 L</v>
      </c>
      <c r="C11" s="138"/>
      <c r="D11" s="66"/>
      <c r="E11" s="138" t="str">
        <f>TEXT(RTD("cqg.rtd", ,"ContractData","GLE?2","LastTradeorSettle",,"T"),"#.000")&amp;" "&amp;"L"</f>
        <v>130.300 L</v>
      </c>
      <c r="F11" s="138"/>
      <c r="G11" s="138" t="str">
        <f>TEXT(RTD("cqg.rtd", ,"ContractData","GLE?3","LastTradeorSettle",,"T"),"#.000")&amp;" "&amp;"L"</f>
        <v>125.825 L</v>
      </c>
      <c r="H11" s="138"/>
      <c r="I11" s="138" t="str">
        <f>TEXT(RTD("cqg.rtd", ,"ContractData","GLE?4","LastTradeorSettle",,"T"),"#.000")&amp;" "&amp;"L"</f>
        <v>126.450 L</v>
      </c>
      <c r="J11" s="138"/>
      <c r="K11" s="138" t="str">
        <f>TEXT(RTD("cqg.rtd", ,"ContractData","GLE?5","LastTradeorSettle",,"T"),"#.000")&amp;" "&amp;"L"</f>
        <v>130.400 L</v>
      </c>
      <c r="L11" s="138"/>
      <c r="M11" s="138" t="str">
        <f>TEXT(RTD("cqg.rtd", ,"ContractData","GLE?6","LastTradeorSettle",,"T"),"#.000")&amp;" "&amp;"L"</f>
        <v>132.175 L</v>
      </c>
      <c r="N11" s="138"/>
      <c r="O11" s="66" t="str">
        <f>TEXT(RTD("cqg.rtd", ,"ContractData",O6,GLE!$R$1,,"T"),"#.000")&amp;" "&amp;"L"</f>
        <v>133.000 L</v>
      </c>
      <c r="P11" s="138" t="str">
        <f>TEXT(RTD("cqg.rtd", ,"ContractData","GLE?7","LastTradeorSettle",,"T"),"#.000")&amp;" "&amp;"L"</f>
        <v>133.000 L</v>
      </c>
      <c r="Q11" s="138"/>
      <c r="R11" s="138" t="str">
        <f>TEXT(RTD("cqg.rtd", ,"ContractData","GLE?8","LastTradeorSettle",,"T"),"#.000")&amp;" "&amp;"L"</f>
        <v>134.250 L</v>
      </c>
      <c r="S11" s="138"/>
      <c r="T11" s="138" t="str">
        <f>TEXT(RTD("cqg.rtd", ,"ContractData","GLE?9","LastTradeorSettle",,"T"),"#.000")&amp;" "&amp;"L"</f>
        <v xml:space="preserve"> L</v>
      </c>
      <c r="U11" s="138"/>
      <c r="V11" s="138" t="str">
        <f>TEXT(RTD("cqg.rtd", ,"ContractData","GF?1","LastTradeorSettle",,"T"),"#.000")&amp;" "&amp;"L"</f>
        <v>144.525 L</v>
      </c>
      <c r="W11" s="138"/>
      <c r="X11" s="138" t="str">
        <f>TEXT(RTD("cqg.rtd", ,"ContractData","GF?2","LastTradeorSettle",,"T"),"#.000")&amp;" "&amp;"L"</f>
        <v>148.025 L</v>
      </c>
      <c r="Y11" s="138"/>
      <c r="Z11" s="138" t="str">
        <f>TEXT(RTD("cqg.rtd", ,"ContractData","GF?3","LastTradeorSettle",,"T"),"#.000")&amp;" "&amp;"L"</f>
        <v>150.700 L</v>
      </c>
      <c r="AA11" s="138"/>
      <c r="AB11" s="138" t="str">
        <f>TEXT(RTD("cqg.rtd", ,"ContractData","GF?4","LastTradeorSettle",,"T"),"#.000")&amp;" "&amp;"L"</f>
        <v>157.150 L</v>
      </c>
      <c r="AC11" s="138"/>
      <c r="AD11" s="138" t="str">
        <f>TEXT(RTD("cqg.rtd", ,"ContractData","GF?5","LastTradeorSettle",,"T"),"#.000")&amp;" "&amp;"L"</f>
        <v>158.475 L</v>
      </c>
      <c r="AE11" s="138"/>
      <c r="AF11" s="138" t="str">
        <f>TEXT(RTD("cqg.rtd", ,"ContractData","GF?6","LastTradeorSettle",,"T"),"#.000")&amp;" "&amp;"L"</f>
        <v>160.100 L</v>
      </c>
      <c r="AG11" s="138"/>
      <c r="AH11" s="138" t="str">
        <f>TEXT(RTD("cqg.rtd", ,"ContractData","GF?7","LastTradeorSettle",,"T"),"#.000")&amp;" "&amp;"L"</f>
        <v>160.750 L</v>
      </c>
      <c r="AI11" s="138"/>
      <c r="AJ11" s="138" t="str">
        <f>TEXT(RTD("cqg.rtd", ,"ContractData","GF?8","LastTradeorSettle",,"T"),"#.000")&amp;" "&amp;"L"</f>
        <v>161.000 L</v>
      </c>
      <c r="AK11" s="148"/>
      <c r="AL11" s="105"/>
      <c r="AM11" s="105"/>
      <c r="AN11" s="107"/>
      <c r="AO11" s="107"/>
      <c r="AP11" s="108">
        <v>3</v>
      </c>
      <c r="AQ11" s="108" t="s">
        <v>13</v>
      </c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4"/>
      <c r="BC11" s="102"/>
    </row>
    <row r="12" spans="2:55" ht="13.9" customHeight="1" x14ac:dyDescent="0.2">
      <c r="B12" s="44"/>
      <c r="C12" s="45"/>
      <c r="D12" s="45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34"/>
      <c r="AI12" s="34"/>
      <c r="AJ12" s="34"/>
      <c r="AK12" s="34"/>
      <c r="AL12" s="105"/>
      <c r="AM12" s="105"/>
      <c r="AP12" s="106"/>
      <c r="AQ12" s="106"/>
      <c r="BB12" s="100"/>
      <c r="BC12" s="99"/>
    </row>
    <row r="13" spans="2:55" ht="13.9" customHeight="1" x14ac:dyDescent="0.2">
      <c r="B13" s="47"/>
      <c r="C13" s="48"/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48"/>
      <c r="X13" s="48"/>
      <c r="Y13" s="50"/>
      <c r="Z13" s="50"/>
      <c r="AA13" s="50"/>
      <c r="AB13" s="50"/>
      <c r="AC13" s="50"/>
      <c r="AD13" s="50"/>
      <c r="AE13" s="50"/>
      <c r="AF13" s="50"/>
      <c r="AG13" s="50"/>
      <c r="AH13" s="35"/>
      <c r="AI13" s="35"/>
      <c r="AJ13" s="35"/>
      <c r="AK13" s="35"/>
      <c r="AL13" s="105"/>
      <c r="AM13" s="105"/>
      <c r="AP13" s="106"/>
      <c r="AQ13" s="106"/>
      <c r="BB13" s="100"/>
      <c r="BC13" s="99"/>
    </row>
    <row r="14" spans="2:55" ht="13.9" customHeight="1" x14ac:dyDescent="0.2">
      <c r="B14" s="47"/>
      <c r="C14" s="5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51"/>
      <c r="X14" s="51"/>
      <c r="Y14" s="22"/>
      <c r="Z14" s="22"/>
      <c r="AA14" s="22"/>
      <c r="AB14" s="22"/>
      <c r="AC14" s="22"/>
      <c r="AD14" s="22"/>
      <c r="AE14" s="22"/>
      <c r="AF14" s="22"/>
      <c r="AG14" s="22"/>
      <c r="AH14" s="35"/>
      <c r="AI14" s="35"/>
      <c r="AJ14" s="35"/>
      <c r="AK14" s="35"/>
      <c r="AL14" s="105"/>
      <c r="AM14" s="105"/>
      <c r="BB14" s="100"/>
      <c r="BC14" s="99"/>
    </row>
    <row r="15" spans="2:55" ht="13.9" customHeight="1" x14ac:dyDescent="0.2">
      <c r="B15" s="47"/>
      <c r="C15" s="5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51"/>
      <c r="X15" s="51"/>
      <c r="Y15" s="22"/>
      <c r="Z15" s="22"/>
      <c r="AA15" s="22"/>
      <c r="AB15" s="22"/>
      <c r="AC15" s="22"/>
      <c r="AD15" s="22"/>
      <c r="AE15" s="22"/>
      <c r="AF15" s="22"/>
      <c r="AG15" s="22"/>
      <c r="AH15" s="35"/>
      <c r="AI15" s="35"/>
      <c r="AJ15" s="35"/>
      <c r="AK15" s="35"/>
      <c r="AL15" s="105"/>
      <c r="AM15" s="105"/>
      <c r="BB15" s="100"/>
      <c r="BC15" s="99"/>
    </row>
    <row r="16" spans="2:55" ht="13.9" customHeight="1" x14ac:dyDescent="0.2">
      <c r="B16" s="47"/>
      <c r="C16" s="5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51"/>
      <c r="X16" s="51"/>
      <c r="Y16" s="22"/>
      <c r="Z16" s="22"/>
      <c r="AA16" s="22"/>
      <c r="AB16" s="22"/>
      <c r="AC16" s="22"/>
      <c r="AD16" s="22"/>
      <c r="AE16" s="22"/>
      <c r="AF16" s="22"/>
      <c r="AG16" s="22"/>
      <c r="AH16" s="35"/>
      <c r="AI16" s="35"/>
      <c r="AJ16" s="35"/>
      <c r="AK16" s="35"/>
      <c r="AL16" s="105"/>
      <c r="AM16" s="105"/>
      <c r="BB16" s="100"/>
      <c r="BC16" s="99"/>
    </row>
    <row r="17" spans="2:55" x14ac:dyDescent="0.2">
      <c r="C17" s="5"/>
      <c r="D17" s="2"/>
      <c r="E17" s="2"/>
      <c r="F17" s="16"/>
      <c r="G17" s="16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35"/>
      <c r="AI17" s="35"/>
      <c r="AJ17" s="35"/>
      <c r="AK17" s="35"/>
      <c r="AL17" s="105"/>
      <c r="AM17" s="105"/>
      <c r="BB17" s="100"/>
      <c r="BC17" s="99"/>
    </row>
    <row r="18" spans="2:55" x14ac:dyDescent="0.2">
      <c r="C18" s="5"/>
      <c r="D18" s="5"/>
      <c r="E18" s="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35"/>
      <c r="AI18" s="35"/>
      <c r="AJ18" s="35"/>
      <c r="AK18" s="35"/>
      <c r="AL18" s="105"/>
      <c r="AM18" s="105"/>
      <c r="AN18" s="103" t="s">
        <v>7</v>
      </c>
      <c r="BB18" s="100"/>
      <c r="BC18" s="99"/>
    </row>
    <row r="19" spans="2:55" x14ac:dyDescent="0.2">
      <c r="C19" s="5"/>
      <c r="D19" s="5"/>
      <c r="E19" s="5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35"/>
      <c r="AI19" s="35"/>
      <c r="AJ19" s="35"/>
      <c r="AK19" s="35"/>
      <c r="AL19" s="105"/>
      <c r="AM19" s="105"/>
      <c r="AN19" s="109"/>
      <c r="BB19" s="100"/>
      <c r="BC19" s="99"/>
    </row>
    <row r="20" spans="2:55" x14ac:dyDescent="0.2">
      <c r="C20" s="5"/>
      <c r="D20" s="5"/>
      <c r="E20" s="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35"/>
      <c r="AI20" s="35"/>
      <c r="AJ20" s="35"/>
      <c r="AK20" s="35"/>
      <c r="AL20" s="105"/>
      <c r="AM20" s="105"/>
      <c r="BB20" s="100"/>
      <c r="BC20" s="99"/>
    </row>
    <row r="21" spans="2:55" x14ac:dyDescent="0.2">
      <c r="C21" s="21"/>
      <c r="D21" s="21"/>
      <c r="E21" s="21"/>
      <c r="F21" s="21"/>
      <c r="G21" s="21"/>
      <c r="H21" s="21"/>
      <c r="I21" s="2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35"/>
      <c r="AI21" s="35"/>
      <c r="AJ21" s="35"/>
      <c r="AK21" s="35"/>
      <c r="AL21" s="105"/>
      <c r="AM21" s="105"/>
      <c r="BB21" s="100"/>
      <c r="BC21" s="99"/>
    </row>
    <row r="22" spans="2:55" x14ac:dyDescent="0.2">
      <c r="C22" s="22"/>
      <c r="D22" s="22"/>
      <c r="E22" s="22"/>
      <c r="F22" s="22"/>
      <c r="G22" s="22"/>
      <c r="H22" s="22"/>
      <c r="I22" s="22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35"/>
      <c r="AI22" s="35"/>
      <c r="AJ22" s="35"/>
      <c r="AK22" s="35"/>
      <c r="AL22" s="105"/>
      <c r="AM22" s="105"/>
      <c r="BB22" s="100"/>
      <c r="BC22" s="99"/>
    </row>
    <row r="23" spans="2:55" x14ac:dyDescent="0.2">
      <c r="C23" s="22"/>
      <c r="D23" s="22"/>
      <c r="E23" s="22"/>
      <c r="F23" s="22"/>
      <c r="G23" s="22"/>
      <c r="H23" s="22"/>
      <c r="I23" s="22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35"/>
      <c r="AI23" s="35"/>
      <c r="AJ23" s="35"/>
      <c r="AK23" s="35"/>
      <c r="AL23" s="105"/>
      <c r="AM23" s="105"/>
      <c r="AN23" s="103" t="s">
        <v>7</v>
      </c>
      <c r="BB23" s="100"/>
      <c r="BC23" s="99"/>
    </row>
    <row r="24" spans="2:55" x14ac:dyDescent="0.2">
      <c r="C24" s="22"/>
      <c r="D24" s="22"/>
      <c r="E24" s="22"/>
      <c r="F24" s="22"/>
      <c r="G24" s="22"/>
      <c r="H24" s="22"/>
      <c r="I24" s="2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35"/>
      <c r="AI24" s="35"/>
      <c r="AJ24" s="35"/>
      <c r="AK24" s="35"/>
      <c r="AL24" s="105"/>
      <c r="AM24" s="105"/>
      <c r="BB24" s="100"/>
      <c r="BC24" s="99"/>
    </row>
    <row r="25" spans="2:55" ht="13.5" customHeight="1" x14ac:dyDescent="0.2">
      <c r="C25" s="21"/>
      <c r="D25" s="21"/>
      <c r="E25" s="21"/>
      <c r="F25" s="21"/>
      <c r="G25" s="21"/>
      <c r="H25" s="21"/>
      <c r="I25" s="21"/>
      <c r="J25" s="16"/>
      <c r="K25" s="16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35"/>
      <c r="AI25" s="35"/>
      <c r="AJ25" s="35"/>
      <c r="AK25" s="35"/>
      <c r="AL25" s="105"/>
      <c r="AM25" s="105"/>
      <c r="BB25" s="100"/>
      <c r="BC25" s="99"/>
    </row>
    <row r="26" spans="2:55" ht="15" customHeight="1" x14ac:dyDescent="0.2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35"/>
      <c r="AI26" s="35"/>
      <c r="AJ26" s="35"/>
      <c r="AK26" s="35"/>
      <c r="AL26" s="105"/>
      <c r="AM26" s="105"/>
      <c r="BB26" s="100"/>
      <c r="BC26" s="99"/>
    </row>
    <row r="27" spans="2:55" x14ac:dyDescent="0.2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35"/>
      <c r="AI27" s="35"/>
      <c r="AJ27" s="35"/>
      <c r="AK27" s="35"/>
      <c r="AL27" s="105"/>
      <c r="AM27" s="105"/>
      <c r="BB27" s="100"/>
      <c r="BC27" s="99"/>
    </row>
    <row r="28" spans="2:55" x14ac:dyDescent="0.2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35"/>
      <c r="AI28" s="35"/>
      <c r="AJ28" s="35"/>
      <c r="AK28" s="35"/>
      <c r="AL28" s="105"/>
      <c r="AM28" s="105"/>
      <c r="BB28" s="100"/>
      <c r="BC28" s="99"/>
    </row>
    <row r="29" spans="2:55" x14ac:dyDescent="0.2">
      <c r="C29" s="16"/>
      <c r="D29" s="23"/>
      <c r="E29" s="23"/>
      <c r="F29" s="23"/>
      <c r="G29" s="23"/>
      <c r="H29" s="23"/>
      <c r="I29" s="23"/>
      <c r="J29" s="2"/>
      <c r="K29" s="2"/>
      <c r="L29" s="16"/>
      <c r="M29" s="16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35"/>
      <c r="AI29" s="35"/>
      <c r="AJ29" s="35"/>
      <c r="AK29" s="35"/>
      <c r="AL29" s="105"/>
      <c r="AM29" s="105">
        <f>RTD("cqg.rtd", ,"ContractData",GF!Q2,"Ask",,"T")-RTD("cqg.rtd", ,"ContractData",GLE!Q2,"Bid",,"T")</f>
        <v>17.649999999999991</v>
      </c>
      <c r="AN29" s="105">
        <f>RTD("cqg.rtd", ,"ContractData",GF!Q3,"Ask",,"T")-RTD("cqg.rtd", ,"ContractData",GLE!Q3,"Bid",,"T")</f>
        <v>17.824999999999989</v>
      </c>
      <c r="AO29" s="105">
        <f>RTD("cqg.rtd", ,"ContractData",GF!Q4,"Ask",,"T")-RTD("cqg.rtd", ,"ContractData",GLE!Q4,"Bid",,"T")</f>
        <v>25.024999999999991</v>
      </c>
      <c r="AP29" s="105">
        <f>RTD("cqg.rtd", ,"ContractData",GF!Q5,"Ask",,"T")-RTD("cqg.rtd", ,"ContractData",GLE!Q5,"Bid",,"T")</f>
        <v>30.750000000000014</v>
      </c>
      <c r="AQ29" s="105">
        <f>RTD("cqg.rtd", ,"ContractData",GF!Q6,"Ask",,"T")-RTD("cqg.rtd", ,"ContractData",GLE!Q6,"Bid",,"T")</f>
        <v>28.175000000000011</v>
      </c>
      <c r="AR29" s="105">
        <f>RTD("cqg.rtd", ,"ContractData",GF!Q7,"Ask",,"T")-RTD("cqg.rtd", ,"ContractData",GLE!Q7,"Bid",,"T")</f>
        <v>27.449999999999989</v>
      </c>
      <c r="AS29" s="105">
        <f>RTD("cqg.rtd", ,"ContractData",GF!Q8,"Ask",,"T")-RTD("cqg.rtd", ,"ContractData",GLE!Q8,"Bid",,"T")</f>
        <v>27.449999999999989</v>
      </c>
      <c r="AT29" s="105">
        <f>RTD("cqg.rtd", ,"ContractData",GF!Q9,"Ask",,"T")-RTD("cqg.rtd", ,"ContractData",GLE!Q9,"Bid",,"T")</f>
        <v>26.599999999999994</v>
      </c>
      <c r="BB29" s="100"/>
      <c r="BC29" s="99"/>
    </row>
    <row r="30" spans="2:55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5"/>
      <c r="AI30" s="35"/>
      <c r="AJ30" s="35"/>
      <c r="AK30" s="35"/>
      <c r="AL30" s="105"/>
      <c r="AM30" s="105">
        <f>RTD("cqg.rtd",,"ContractData",GF!Q2,"Bid",,"T")-RTD("cqg.rtd",,"ContractData",GLE!Q2,"Ask",,"T")</f>
        <v>17.575000000000003</v>
      </c>
      <c r="AN30" s="105">
        <f>RTD("cqg.rtd",,"ContractData",GF!Q3,"Bid",,"T")-RTD("cqg.rtd",,"ContractData",GLE!Q3,"Ask",,"T")</f>
        <v>17.724999999999994</v>
      </c>
      <c r="AO30" s="105">
        <f>RTD("cqg.rtd",,"ContractData",GF!Q4,"Bid",,"T")-RTD("cqg.rtd",,"ContractData",GLE!Q4,"Ask",,"T")</f>
        <v>24.874999999999986</v>
      </c>
      <c r="AP30" s="105">
        <f>RTD("cqg.rtd",,"ContractData",GF!Q5,"Bid",,"T")-RTD("cqg.rtd",,"ContractData",GLE!Q5,"Ask",,"T")</f>
        <v>30.599999999999994</v>
      </c>
      <c r="AQ30" s="105">
        <f>RTD("cqg.rtd",,"ContractData",GF!Q6,"Bid",,"T")-RTD("cqg.rtd",,"ContractData",GLE!Q6,"Ask",,"T")</f>
        <v>28.024999999999977</v>
      </c>
      <c r="AR30" s="105">
        <f>RTD("cqg.rtd",,"ContractData",GF!Q7,"Bid",,"T")-RTD("cqg.rtd",,"ContractData",GLE!Q7,"Ask",,"T")</f>
        <v>27.174999999999983</v>
      </c>
      <c r="AS30" s="105">
        <f>RTD("cqg.rtd",,"ContractData",GF!Q8,"Bid",,"T")-RTD("cqg.rtd",,"ContractData",GLE!Q8,"Ask",,"T")</f>
        <v>27.100000000000023</v>
      </c>
      <c r="AT30" s="105">
        <f>RTD("cqg.rtd",,"ContractData",GF!Q9,"Bid",,"T")-RTD("cqg.rtd",,"ContractData",GLE!Q9,"Ask",,"T")</f>
        <v>25.849999999999994</v>
      </c>
      <c r="BB30" s="100"/>
      <c r="BC30" s="99"/>
    </row>
    <row r="31" spans="2:55" ht="13.5" thickBot="1" x14ac:dyDescent="0.25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35"/>
      <c r="AI31" s="35"/>
      <c r="AJ31" s="35"/>
      <c r="AK31" s="35"/>
      <c r="AL31" s="105"/>
      <c r="AM31" s="105"/>
      <c r="BB31" s="100"/>
      <c r="BC31" s="99"/>
    </row>
    <row r="32" spans="2:55" ht="13.5" customHeight="1" thickBot="1" x14ac:dyDescent="0.25"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56"/>
      <c r="P32" s="56"/>
      <c r="Q32" s="56"/>
      <c r="R32" s="56"/>
      <c r="S32" s="57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35"/>
      <c r="AI32" s="35"/>
      <c r="AJ32" s="35"/>
      <c r="AK32" s="35"/>
      <c r="AL32" s="105"/>
      <c r="AM32" s="105" t="str">
        <f>B33</f>
        <v>GFH3-GLEG3</v>
      </c>
      <c r="AN32" s="105" t="str">
        <f>E33</f>
        <v>GFJ3-GLEJ3</v>
      </c>
      <c r="AO32" s="105" t="str">
        <f>G33</f>
        <v>GFK3-GLEM3</v>
      </c>
      <c r="AP32" s="105" t="str">
        <f>I33</f>
        <v>GFQ3-GLEQ3</v>
      </c>
      <c r="AQ32" s="105" t="str">
        <f>K33</f>
        <v>GFU3-GLEV3</v>
      </c>
      <c r="AR32" s="105" t="str">
        <f>M33</f>
        <v>GFV3-GLEZ3</v>
      </c>
      <c r="AS32" s="103" t="str">
        <f>P33</f>
        <v>GFX3-GLEG4</v>
      </c>
      <c r="AT32" s="103" t="str">
        <f>R33</f>
        <v>GFF4-GLEJ4</v>
      </c>
      <c r="BB32" s="100"/>
      <c r="BC32" s="99"/>
    </row>
    <row r="33" spans="2:55" ht="15" customHeight="1" thickBot="1" x14ac:dyDescent="0.25">
      <c r="B33" s="140" t="str">
        <f>V6&amp;"-"&amp;B6</f>
        <v>GFH3-GLEG3</v>
      </c>
      <c r="C33" s="141"/>
      <c r="D33" s="64"/>
      <c r="E33" s="140" t="str">
        <f>X6&amp;"-"&amp;E6</f>
        <v>GFJ3-GLEJ3</v>
      </c>
      <c r="F33" s="141"/>
      <c r="G33" s="126" t="str">
        <f>Z6&amp;"-"&amp;G6</f>
        <v>GFK3-GLEM3</v>
      </c>
      <c r="H33" s="126"/>
      <c r="I33" s="141" t="str">
        <f>AB6&amp;"-"&amp;I6</f>
        <v>GFQ3-GLEQ3</v>
      </c>
      <c r="J33" s="141"/>
      <c r="K33" s="141" t="str">
        <f>AD6&amp;"-"&amp;K6</f>
        <v>GFU3-GLEV3</v>
      </c>
      <c r="L33" s="141"/>
      <c r="M33" s="141" t="str">
        <f>AF6&amp;"-"&amp;M6</f>
        <v>GFV3-GLEZ3</v>
      </c>
      <c r="N33" s="141"/>
      <c r="O33" s="65"/>
      <c r="P33" s="141" t="str">
        <f>AH6&amp;"-"&amp;P6</f>
        <v>GFX3-GLEG4</v>
      </c>
      <c r="Q33" s="141"/>
      <c r="R33" s="141" t="str">
        <f>AJ6&amp;"-"&amp;R6</f>
        <v>GFF4-GLEJ4</v>
      </c>
      <c r="S33" s="141"/>
      <c r="T33" s="128" t="s">
        <v>16</v>
      </c>
      <c r="U33" s="129"/>
      <c r="V33" s="149" t="str">
        <f>"CQG Trader: "&amp;RTD("cqg.rtd", ,"ContractData","F.HE?1", "LongDescription")</f>
        <v>CQG Trader: Lean Hogs (Globex): February 2013</v>
      </c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50"/>
      <c r="AL33" s="110"/>
      <c r="AM33" s="111">
        <f>IF(ISERROR(MEDIAN(AM29,AM30)),#N/A,(MEDIAN(AM29,AM30)))</f>
        <v>17.612499999999997</v>
      </c>
      <c r="AN33" s="111">
        <f>IF(ISERROR(MEDIAN(AN29,AN30)),#N/A,(MEDIAN(AN29,AN30)))</f>
        <v>17.774999999999991</v>
      </c>
      <c r="AO33" s="111">
        <f>IF(ISERROR(MEDIAN(AO29,AO30)),#N/A,(MEDIAN(AO29,AO30)))</f>
        <v>24.949999999999989</v>
      </c>
      <c r="AP33" s="111">
        <f t="shared" ref="AP33:AT33" si="0">IF(ISERROR(MEDIAN(AP29,AP30)),#N/A,(MEDIAN(AP29,AP30)))</f>
        <v>30.675000000000004</v>
      </c>
      <c r="AQ33" s="111">
        <f t="shared" si="0"/>
        <v>28.099999999999994</v>
      </c>
      <c r="AR33" s="111">
        <f t="shared" si="0"/>
        <v>27.312499999999986</v>
      </c>
      <c r="AS33" s="111">
        <f t="shared" si="0"/>
        <v>27.275000000000006</v>
      </c>
      <c r="AT33" s="111">
        <f t="shared" si="0"/>
        <v>26.224999999999994</v>
      </c>
      <c r="BB33" s="100"/>
      <c r="BC33" s="99"/>
    </row>
    <row r="34" spans="2:55" ht="15" customHeight="1" thickBot="1" x14ac:dyDescent="0.3">
      <c r="B34" s="120" t="str">
        <f>TEXT(RTD("cqg.rtd", ,"ContractData",GF!Q2,"Ask",,"T")-RTD("cqg.rtd", ,"ContractData",GLE!Q2,"Bid",,"T"),"#.000")&amp;" A"</f>
        <v>17.650 A</v>
      </c>
      <c r="C34" s="121"/>
      <c r="D34" s="82"/>
      <c r="E34" s="120" t="str">
        <f>TEXT(RTD("cqg.rtd", ,"ContractData",GF!Q3,"Ask",,"T")-RTD("cqg.rtd", ,"ContractData",GLE!Q3,"Bid",,"T"),"#.000")&amp;" A"</f>
        <v>17.825 A</v>
      </c>
      <c r="F34" s="121"/>
      <c r="G34" s="169" t="str">
        <f>TEXT(RTD("cqg.rtd", ,"ContractData",GF!Q4,"Ask",,"T")-RTD("cqg.rtd", ,"ContractData",GLE!Q4,"Bid",,"T"),"#.000")&amp;" A"</f>
        <v>25.025 A</v>
      </c>
      <c r="H34" s="121"/>
      <c r="I34" s="166" t="str">
        <f>TEXT(RTD("cqg.rtd", ,"ContractData",GF!Q5,"Ask",,"T")-RTD("cqg.rtd", ,"ContractData",GLE!Q5,"Bid",,"T"),"#.000")&amp;" A"</f>
        <v>30.750 A</v>
      </c>
      <c r="J34" s="145"/>
      <c r="K34" s="166" t="str">
        <f>TEXT(RTD("cqg.rtd", ,"ContractData",GF!Q6,"Ask",,"T")-RTD("cqg.rtd", ,"ContractData",GLE!Q6,"Bid",,"T"),"#.000")&amp;" A"</f>
        <v>28.175 A</v>
      </c>
      <c r="L34" s="145"/>
      <c r="M34" s="166" t="str">
        <f>TEXT(RTD("cqg.rtd", ,"ContractData",GF!Q7,"Ask",,"T")-RTD("cqg.rtd", ,"ContractData",GLE!Q7,"Bid",,"T"),"#.000")&amp;" A"</f>
        <v>27.450 A</v>
      </c>
      <c r="N34" s="145"/>
      <c r="O34" s="83"/>
      <c r="P34" s="144" t="str">
        <f>TEXT(RTD("cqg.rtd", ,"ContractData",GF!Q8,"Ask",,"T")-RTD("cqg.rtd", ,"ContractData",GLE!Q8,"Bid",,"T"),"#.000")&amp;" A"</f>
        <v>27.450 A</v>
      </c>
      <c r="Q34" s="145"/>
      <c r="R34" s="166" t="str">
        <f>TEXT(RTD("cqg.rtd", ,"ContractData",GF!Q9,"Ask",,"T")-RTD("cqg.rtd", ,"ContractData",GLE!Q9,"Bid",,"T"),"#.000")&amp;" A"</f>
        <v>26.600 A</v>
      </c>
      <c r="S34" s="145"/>
      <c r="T34" s="143" t="str">
        <f>HE!AH2</f>
        <v>FEB</v>
      </c>
      <c r="U34" s="141"/>
      <c r="V34" s="141" t="str">
        <f>HE!AH3</f>
        <v>APR</v>
      </c>
      <c r="W34" s="141"/>
      <c r="X34" s="141" t="str">
        <f>HE!AH4</f>
        <v>MAY</v>
      </c>
      <c r="Y34" s="141"/>
      <c r="Z34" s="141" t="str">
        <f>HE!AH5</f>
        <v>JUN</v>
      </c>
      <c r="AA34" s="141"/>
      <c r="AB34" s="141" t="str">
        <f>HE!AH6</f>
        <v>JUL</v>
      </c>
      <c r="AC34" s="141"/>
      <c r="AD34" s="141" t="str">
        <f>HE!AH7</f>
        <v>AUG</v>
      </c>
      <c r="AE34" s="141"/>
      <c r="AF34" s="141" t="str">
        <f>HE!AH8</f>
        <v>OCT</v>
      </c>
      <c r="AG34" s="141"/>
      <c r="AH34" s="141" t="str">
        <f>HE!AH9</f>
        <v>DEC</v>
      </c>
      <c r="AI34" s="141"/>
      <c r="AJ34" s="141" t="str">
        <f>HE!AH10</f>
        <v>FEB</v>
      </c>
      <c r="AK34" s="142"/>
      <c r="AL34" s="110"/>
      <c r="AM34" s="110"/>
      <c r="BB34" s="100"/>
      <c r="BC34" s="99"/>
    </row>
    <row r="35" spans="2:55" ht="15" hidden="1" customHeight="1" thickBot="1" x14ac:dyDescent="0.3">
      <c r="B35" s="84"/>
      <c r="C35" s="85"/>
      <c r="D35" s="86"/>
      <c r="E35" s="84"/>
      <c r="F35" s="85"/>
      <c r="G35" s="87"/>
      <c r="H35" s="85"/>
      <c r="I35" s="87"/>
      <c r="J35" s="85"/>
      <c r="K35" s="87"/>
      <c r="L35" s="85"/>
      <c r="M35" s="87"/>
      <c r="N35" s="85"/>
      <c r="O35" s="88"/>
      <c r="P35" s="87"/>
      <c r="Q35" s="85"/>
      <c r="R35" s="87"/>
      <c r="S35" s="85"/>
      <c r="T35" s="52"/>
      <c r="U35" s="42"/>
      <c r="V35" s="43"/>
      <c r="W35" s="42"/>
      <c r="X35" s="43"/>
      <c r="Y35" s="42"/>
      <c r="Z35" s="43"/>
      <c r="AA35" s="42"/>
      <c r="AB35" s="43"/>
      <c r="AC35" s="42"/>
      <c r="AD35" s="43"/>
      <c r="AE35" s="42"/>
      <c r="AF35" s="43"/>
      <c r="AG35" s="42"/>
      <c r="AH35" s="43"/>
      <c r="AI35" s="42"/>
      <c r="AJ35" s="43"/>
      <c r="AK35" s="53"/>
      <c r="AL35" s="139"/>
      <c r="AM35" s="139"/>
      <c r="BB35" s="100"/>
      <c r="BC35" s="99"/>
    </row>
    <row r="36" spans="2:55" ht="15" customHeight="1" thickBot="1" x14ac:dyDescent="0.3">
      <c r="B36" s="122" t="str">
        <f>TEXT(RTD("cqg.rtd", ,"ContractData",GF!Q2,"Bid",,"T")-RTD("cqg.rtd", ,"ContractData",GLE!Q2,"Ask",,"T"),"#.000")&amp;" B"</f>
        <v>17.575 B</v>
      </c>
      <c r="C36" s="123"/>
      <c r="D36" s="89"/>
      <c r="E36" s="122" t="str">
        <f>TEXT(RTD("cqg.rtd", ,"ContractData",GF!Q3,"Bid",,"T")-RTD("cqg.rtd", ,"ContractData",GLE!Q3,"Ask",,"T"),"#.000")&amp;" B"</f>
        <v>17.725 B</v>
      </c>
      <c r="F36" s="123"/>
      <c r="G36" s="167" t="str">
        <f>TEXT(RTD("cqg.rtd", ,"ContractData",GF!Q4,"Bid",,"T")-RTD("cqg.rtd", ,"ContractData",GLE!Q4,"Ask",,"T"),"#.000")&amp;" B"</f>
        <v>24.875 B</v>
      </c>
      <c r="H36" s="165"/>
      <c r="I36" s="167" t="str">
        <f>TEXT(RTD("cqg.rtd", ,"ContractData",GF!Q5,"Bid",,"T")-RTD("cqg.rtd", ,"ContractData",GLE!Q5,"Ask",,"T"),"#.000")&amp;" B"</f>
        <v>30.600 B</v>
      </c>
      <c r="J36" s="165"/>
      <c r="K36" s="167" t="str">
        <f>TEXT(RTD("cqg.rtd", ,"ContractData",GF!Q6,"Bid",,"T")-RTD("cqg.rtd", ,"ContractData",GLE!Q6,"Ask",,"T"),"#.000")&amp;" B"</f>
        <v>28.025 B</v>
      </c>
      <c r="L36" s="165"/>
      <c r="M36" s="167" t="str">
        <f>TEXT(RTD("cqg.rtd", ,"ContractData",GF!Q7,"Bid",,"T")-RTD("cqg.rtd", ,"ContractData",GLE!Q7,"Ask",,"T"),"#.000")&amp;" B"</f>
        <v>27.175 B</v>
      </c>
      <c r="N36" s="165"/>
      <c r="O36" s="90"/>
      <c r="P36" s="164" t="str">
        <f>TEXT(RTD("cqg.rtd", ,"ContractData",GF!Q8,"Bid",,"T")-RTD("cqg.rtd", ,"ContractData",GLE!Q8,"Ask",,"T"),"#.000")&amp;" B"</f>
        <v>27.100 B</v>
      </c>
      <c r="Q36" s="165"/>
      <c r="R36" s="167" t="str">
        <f>TEXT(RTD("cqg.rtd", ,"ContractData",GF!Q9,"Bid",,"T")-RTD("cqg.rtd", ,"ContractData",GLE!Q9,"Ask",,"T"),"#.000")&amp;" B"</f>
        <v>25.850 B</v>
      </c>
      <c r="S36" s="168"/>
      <c r="T36" s="91">
        <f>RTD("cqg.rtd", ,"ContractData", "F.HE?1", "MT_LastAskVolume")</f>
        <v>10</v>
      </c>
      <c r="U36" s="92" t="str">
        <f>TEXT(RTD("cqg.rtd", ,"ContractData","HE?1","Ask",,"T"),"#.000")&amp;" "&amp;"A"</f>
        <v>86.575 A</v>
      </c>
      <c r="V36" s="93">
        <f>RTD("cqg.rtd", ,"ContractData", "F.HE?2", "MT_LastAskVolume")</f>
        <v>12</v>
      </c>
      <c r="W36" s="92" t="str">
        <f>TEXT(RTD("cqg.rtd", ,"ContractData","HE?2","Ask",,"T"),"#.000")&amp;" "&amp;"A"</f>
        <v>86.350 A</v>
      </c>
      <c r="X36" s="93">
        <f>RTD("cqg.rtd", ,"ContractData", "F.HE?3", "MT_LastAskVolume")</f>
        <v>1</v>
      </c>
      <c r="Y36" s="92" t="str">
        <f>TEXT(RTD("cqg.rtd", ,"ContractData","HE?3","Ask",,"T"),"#.000")&amp;" "&amp;"A"</f>
        <v>93.375 A</v>
      </c>
      <c r="Z36" s="93">
        <f>RTD("cqg.rtd", ,"ContractData", "F.HE?4", "MT_LastAskVolume")</f>
        <v>19</v>
      </c>
      <c r="AA36" s="92" t="str">
        <f>TEXT(RTD("cqg.rtd", ,"ContractData","HE?4","Ask",,"T"),"#.000")&amp;" "&amp;"A"</f>
        <v>94.525 A</v>
      </c>
      <c r="AB36" s="93">
        <f>RTD("cqg.rtd", ,"ContractData", "F.HE?5", "MT_LastAskVolume")</f>
        <v>4</v>
      </c>
      <c r="AC36" s="92" t="str">
        <f>TEXT(RTD("cqg.rtd", ,"ContractData","HE?5","Ask",,"T"),"#.000")&amp;" "&amp;"A"</f>
        <v>94.125 A</v>
      </c>
      <c r="AD36" s="93">
        <f>RTD("cqg.rtd", ,"ContractData", "F.HE?6", "MT_LastAskVolume")</f>
        <v>16</v>
      </c>
      <c r="AE36" s="92" t="str">
        <f>TEXT(RTD("cqg.rtd", ,"ContractData","HE?6","Ask",,"T"),"#.000")&amp;" "&amp;"A"</f>
        <v>93.900 A</v>
      </c>
      <c r="AF36" s="93">
        <f>RTD("cqg.rtd", ,"ContractData", "F.HE?7", "MT_LastAskVolume")</f>
        <v>10</v>
      </c>
      <c r="AG36" s="92" t="str">
        <f>TEXT(RTD("cqg.rtd", ,"ContractData","HE?7","Ask",,"T"),"#.000")&amp;" "&amp;"A"</f>
        <v>84.975 A</v>
      </c>
      <c r="AH36" s="93">
        <f>RTD("cqg.rtd", ,"ContractData", "F.HE?8", "MT_LastAskVolume")</f>
        <v>4</v>
      </c>
      <c r="AI36" s="92" t="str">
        <f>TEXT(RTD("cqg.rtd", ,"ContractData","HE?8","Ask",,"T"),"#.000")&amp;" "&amp;"A"</f>
        <v>81.750 A</v>
      </c>
      <c r="AJ36" s="93">
        <f>RTD("cqg.rtd", ,"ContractData", "F.HE?9", "MT_LastAskVolume")</f>
        <v>1</v>
      </c>
      <c r="AK36" s="94" t="str">
        <f>TEXT(RTD("cqg.rtd", ,"ContractData","HE?9","Ask",,"T"),"#.000")&amp;" "&amp;"A"</f>
        <v>83.250 A</v>
      </c>
      <c r="AL36" s="139"/>
      <c r="AM36" s="139"/>
      <c r="AN36" s="112"/>
      <c r="AO36" s="103">
        <f>RTD("cqg.rtd", ,"ContractData",AQ36, "T_CVol")</f>
        <v>2997</v>
      </c>
      <c r="AQ36" s="103" t="str">
        <f>GLE!Q2</f>
        <v>GLEG3</v>
      </c>
      <c r="AR36" s="103">
        <f>RTD("cqg.rtd", ,"ContractData",AT36, "T_CVol")</f>
        <v>3499</v>
      </c>
      <c r="AT36" s="103" t="str">
        <f>GF!Q2</f>
        <v>GFH3</v>
      </c>
      <c r="AU36" s="103">
        <f>RTD("cqg.rtd", ,"ContractData",AW36, "T_CVol")</f>
        <v>2503</v>
      </c>
      <c r="AV36" s="103" t="str">
        <f>RIGHT(RTD("cqg.rtd", ,"ContractData",AW36, "LongDescription"),6)</f>
        <v>y 2013</v>
      </c>
      <c r="AW36" s="103" t="str">
        <f>HE!Q2</f>
        <v>HEG3</v>
      </c>
      <c r="BB36" s="100"/>
      <c r="BC36" s="99"/>
    </row>
    <row r="37" spans="2:55" ht="15" customHeight="1" thickBot="1" x14ac:dyDescent="0.3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2"/>
      <c r="O37" s="22"/>
      <c r="P37" s="22"/>
      <c r="Q37" s="22"/>
      <c r="R37" s="22"/>
      <c r="S37" s="22"/>
      <c r="T37" s="95">
        <f>RTD("cqg.rtd", ,"ContractData", "F.HE?1", "MT_LastbIDVolume")</f>
        <v>4</v>
      </c>
      <c r="U37" s="96" t="str">
        <f>TEXT(RTD("cqg.rtd", ,"ContractData","F.HE?1","Bid",,"T"),"#.000")&amp;" "&amp;"B"</f>
        <v>86.525 B</v>
      </c>
      <c r="V37" s="97">
        <f>RTD("cqg.rtd", ,"ContractData", "F.HE?2", "MT_LastbIDVolume")</f>
        <v>15</v>
      </c>
      <c r="W37" s="96" t="str">
        <f>TEXT(RTD("cqg.rtd", ,"ContractData","F.HE?2","Bid",,"T"),"#.000")&amp;" "&amp;"B"</f>
        <v>86.325 B</v>
      </c>
      <c r="X37" s="97">
        <f>RTD("cqg.rtd", ,"ContractData", "F.HE?3", "MT_LastbIDVolume")</f>
        <v>4</v>
      </c>
      <c r="Y37" s="96" t="str">
        <f>TEXT(RTD("cqg.rtd", ,"ContractData","F.HE?3","Bid",,"T"),"#.000")&amp;" "&amp;"B"</f>
        <v>93.250 B</v>
      </c>
      <c r="Z37" s="97">
        <f>RTD("cqg.rtd", ,"ContractData", "F.HE?4", "MT_LastbIDVolume")</f>
        <v>4</v>
      </c>
      <c r="AA37" s="96" t="str">
        <f>TEXT(RTD("cqg.rtd", ,"ContractData","F.HE?4","Bid",,"T"),"#.000")&amp;" "&amp;"B"</f>
        <v>94.475 B</v>
      </c>
      <c r="AB37" s="97">
        <f>RTD("cqg.rtd", ,"ContractData", "F.HE?5", "MT_LastbIDVolume")</f>
        <v>3</v>
      </c>
      <c r="AC37" s="96" t="str">
        <f>TEXT(RTD("cqg.rtd", ,"ContractData","F.HE?5","Bid",,"T"),"#.000")&amp;" "&amp;"B"</f>
        <v>94.100 B</v>
      </c>
      <c r="AD37" s="97">
        <f>RTD("cqg.rtd", ,"ContractData", "F.HE?6", "MT_LastbIDVolume")</f>
        <v>7</v>
      </c>
      <c r="AE37" s="96" t="str">
        <f>TEXT(RTD("cqg.rtd", ,"ContractData","F.HE?6","Bid",,"T"),"#.000")&amp;" "&amp;"B"</f>
        <v>93.825 B</v>
      </c>
      <c r="AF37" s="97">
        <f>RTD("cqg.rtd", ,"ContractData", "F.HE?7", "MT_LastbIDVolume")</f>
        <v>18</v>
      </c>
      <c r="AG37" s="96" t="str">
        <f>TEXT(RTD("cqg.rtd", ,"ContractData","F.HE?7","Bid",,"T"),"#.000")&amp;" "&amp;"B"</f>
        <v>84.825 B</v>
      </c>
      <c r="AH37" s="97">
        <f>RTD("cqg.rtd", ,"ContractData", "F.HE?8", "MT_LastbIDVolume")</f>
        <v>1</v>
      </c>
      <c r="AI37" s="96" t="str">
        <f>TEXT(RTD("cqg.rtd", ,"ContractData","F.HE?8","Bid",,"T"),"#.000")&amp;" "&amp;"B"</f>
        <v>81.625 B</v>
      </c>
      <c r="AJ37" s="97">
        <f>RTD("cqg.rtd", ,"ContractData", "F.HE?9", "MT_LastbIDVolume")</f>
        <v>1</v>
      </c>
      <c r="AK37" s="98" t="str">
        <f>TEXT(RTD("cqg.rtd", ,"ContractData","F.HE?9","Bid",,"T"),"#.000")&amp;" "&amp;"B"</f>
        <v>83.100 B</v>
      </c>
      <c r="AL37" s="113"/>
      <c r="AM37" s="114"/>
      <c r="AN37" s="112"/>
      <c r="AO37" s="103">
        <f>RTD("cqg.rtd", ,"ContractData",AQ37, "T_CVol")</f>
        <v>26035</v>
      </c>
      <c r="AQ37" s="103" t="str">
        <f>GLE!Q3</f>
        <v>GLEJ3</v>
      </c>
      <c r="AR37" s="103">
        <f>RTD("cqg.rtd", ,"ContractData",AT37, "T_CVol")</f>
        <v>2246</v>
      </c>
      <c r="AT37" s="103" t="str">
        <f>GF!Q3</f>
        <v>GFJ3</v>
      </c>
      <c r="AU37" s="103">
        <f>RTD("cqg.rtd", ,"ContractData",AW37, "T_CVol")</f>
        <v>12086</v>
      </c>
      <c r="AV37" s="103" t="str">
        <f>RIGHT(RTD("cqg.rtd", ,"ContractData",AW37, "LongDescription"),6)</f>
        <v>l 2013</v>
      </c>
      <c r="AW37" s="103" t="str">
        <f>HE!Q3</f>
        <v>HEJ3</v>
      </c>
      <c r="BB37" s="100"/>
      <c r="BC37" s="99"/>
    </row>
    <row r="38" spans="2:55" ht="15" customHeight="1" thickBot="1" x14ac:dyDescent="0.2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"/>
      <c r="O38" s="16"/>
      <c r="P38" s="16"/>
      <c r="Q38" s="16"/>
      <c r="R38" s="16"/>
      <c r="S38" s="16"/>
      <c r="T38" s="162" t="str">
        <f>TEXT(RTD("cqg.rtd", ,"ContractData","F.HE?1","LastTradeorSettle",,"T"),"#.000")&amp;" "&amp;"L"</f>
        <v>86.525 L</v>
      </c>
      <c r="U38" s="154"/>
      <c r="V38" s="153" t="str">
        <f>TEXT(RTD("cqg.rtd", ,"ContractData","F.HE?2","LastTradeorSettle",,"T"),"#.000")&amp;" "&amp;"L"</f>
        <v>86.325 L</v>
      </c>
      <c r="W38" s="154"/>
      <c r="X38" s="153" t="str">
        <f>TEXT(RTD("cqg.rtd", ,"ContractData","F.HE?3","LastTradeorSettle",,"T"),"#.000")&amp;" "&amp;"L"</f>
        <v>93.200 L</v>
      </c>
      <c r="Y38" s="154"/>
      <c r="Z38" s="153" t="str">
        <f>TEXT(RTD("cqg.rtd", ,"ContractData","F.HE?4","LastTradeorSettle",,"T"),"#.000")&amp;" "&amp;"L"</f>
        <v>94.525 L</v>
      </c>
      <c r="AA38" s="154"/>
      <c r="AB38" s="153" t="str">
        <f>TEXT(RTD("cqg.rtd", ,"ContractData","F.HE?5","LastTradeorSettle",,"T"),"#.000")&amp;" "&amp;"L"</f>
        <v>94.100 L</v>
      </c>
      <c r="AC38" s="154"/>
      <c r="AD38" s="153" t="str">
        <f>TEXT(RTD("cqg.rtd", ,"ContractData","F.HE?6","LastTradeorSettle",,"T"),"#.000")&amp;" "&amp;"L"</f>
        <v>93.900 L</v>
      </c>
      <c r="AE38" s="154"/>
      <c r="AF38" s="153" t="str">
        <f>TEXT(RTD("cqg.rtd", ,"ContractData","F.HE?7","LastTradeorSettle",,"T"),"#.000")&amp;" "&amp;"L"</f>
        <v>84.875 L</v>
      </c>
      <c r="AG38" s="154"/>
      <c r="AH38" s="153" t="str">
        <f>TEXT(RTD("cqg.rtd", ,"ContractData","F.HE?8","LastTradeorSettle",,"T"),"#.000")&amp;" "&amp;"L"</f>
        <v>81.800 L</v>
      </c>
      <c r="AI38" s="154"/>
      <c r="AJ38" s="153" t="str">
        <f>TEXT(RTD("cqg.rtd", ,"ContractData","F.HE?9","LastTradeorSettle",,"T"),"#.000")&amp;" "&amp;"L"</f>
        <v>83.300 L</v>
      </c>
      <c r="AK38" s="163"/>
      <c r="AL38" s="113"/>
      <c r="AM38" s="114"/>
      <c r="AN38" s="112"/>
      <c r="AO38" s="103">
        <f>RTD("cqg.rtd", ,"ContractData",AQ38, "T_CVol")</f>
        <v>6584</v>
      </c>
      <c r="AQ38" s="103" t="str">
        <f>GLE!Q4</f>
        <v>GLEM3</v>
      </c>
      <c r="AR38" s="103">
        <f>RTD("cqg.rtd", ,"ContractData",AT38, "T_CVol")</f>
        <v>1512</v>
      </c>
      <c r="AT38" s="103" t="str">
        <f>GF!Q4</f>
        <v>GFK3</v>
      </c>
      <c r="AU38" s="103">
        <f>RTD("cqg.rtd", ,"ContractData",AW38, "T_CVol")</f>
        <v>39</v>
      </c>
      <c r="AV38" s="103" t="str">
        <f>RIGHT(RTD("cqg.rtd", ,"ContractData",AW38, "LongDescription"),6)</f>
        <v>y 2013</v>
      </c>
      <c r="AW38" s="103" t="str">
        <f>HE!Q4</f>
        <v>HEK3</v>
      </c>
      <c r="BB38" s="100"/>
      <c r="BC38" s="99"/>
    </row>
    <row r="39" spans="2:55" x14ac:dyDescent="0.2">
      <c r="C39" s="22"/>
      <c r="D39" s="22"/>
      <c r="E39" s="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41"/>
      <c r="W39" s="40"/>
      <c r="X39" s="41"/>
      <c r="Y39" s="40"/>
      <c r="Z39" s="41"/>
      <c r="AA39" s="40"/>
      <c r="AB39" s="41"/>
      <c r="AC39" s="40"/>
      <c r="AD39" s="41"/>
      <c r="AE39" s="40"/>
      <c r="AF39" s="41"/>
      <c r="AG39" s="41"/>
      <c r="AH39" s="40"/>
      <c r="AI39" s="41"/>
      <c r="AJ39" s="40"/>
      <c r="AK39" s="41"/>
      <c r="AL39" s="113"/>
      <c r="AM39" s="114"/>
      <c r="AN39" s="112"/>
      <c r="AO39" s="103">
        <f>RTD("cqg.rtd", ,"ContractData",AQ39, "T_CVol")</f>
        <v>4117</v>
      </c>
      <c r="AQ39" s="103" t="str">
        <f>GLE!Q5</f>
        <v>GLEQ3</v>
      </c>
      <c r="AR39" s="103">
        <f>RTD("cqg.rtd", ,"ContractData",AT39, "T_CVol")</f>
        <v>855</v>
      </c>
      <c r="AT39" s="103" t="str">
        <f>GF!Q5</f>
        <v>GFQ3</v>
      </c>
      <c r="AU39" s="103">
        <f>RTD("cqg.rtd", ,"ContractData",AW39, "T_CVol")</f>
        <v>3882</v>
      </c>
      <c r="AV39" s="103" t="str">
        <f>RIGHT(RTD("cqg.rtd", ,"ContractData",AW39, "LongDescription"),6)</f>
        <v>e 2013</v>
      </c>
      <c r="AW39" s="103" t="str">
        <f>HE!Q5</f>
        <v>HEM3</v>
      </c>
      <c r="BB39" s="100"/>
      <c r="BC39" s="99"/>
    </row>
    <row r="40" spans="2:55" ht="12" customHeight="1" x14ac:dyDescent="0.2">
      <c r="C40" s="22"/>
      <c r="D40" s="22"/>
      <c r="E40" s="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60"/>
      <c r="U40" s="160"/>
      <c r="V40" s="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60"/>
      <c r="AH40" s="160"/>
      <c r="AI40" s="160"/>
      <c r="AJ40" s="160"/>
      <c r="AK40" s="160"/>
      <c r="AL40" s="161"/>
      <c r="AM40" s="161"/>
      <c r="AN40" s="112"/>
      <c r="AO40" s="103">
        <f>RTD("cqg.rtd", ,"ContractData",AQ40, "T_CVol")</f>
        <v>1556</v>
      </c>
      <c r="AQ40" s="103" t="str">
        <f>GLE!Q6</f>
        <v>GLEV3</v>
      </c>
      <c r="AR40" s="103">
        <f>RTD("cqg.rtd", ,"ContractData",AT40, "T_CVol")</f>
        <v>213</v>
      </c>
      <c r="AT40" s="103" t="str">
        <f>GF!Q6</f>
        <v>GFU3</v>
      </c>
      <c r="AU40" s="103">
        <f>RTD("cqg.rtd", ,"ContractData",AW40, "T_CVol")</f>
        <v>722</v>
      </c>
      <c r="AV40" s="103" t="str">
        <f>RIGHT(RTD("cqg.rtd", ,"ContractData",AW40, "LongDescription"),6)</f>
        <v>y 2013</v>
      </c>
      <c r="AW40" s="103" t="str">
        <f>HE!Q6</f>
        <v>HEN3</v>
      </c>
      <c r="BB40" s="100"/>
      <c r="BC40" s="99"/>
    </row>
    <row r="41" spans="2:55" ht="12.6" customHeight="1" x14ac:dyDescent="0.2">
      <c r="C41" s="17"/>
      <c r="D41" s="17"/>
      <c r="E41" s="17"/>
      <c r="F41" s="22"/>
      <c r="G41" s="22"/>
      <c r="H41" s="22"/>
      <c r="I41" s="22"/>
      <c r="J41" s="22"/>
      <c r="K41" s="22"/>
      <c r="L41" s="22"/>
      <c r="M41" s="22"/>
      <c r="N41" s="17"/>
      <c r="O41" s="17"/>
      <c r="P41" s="17"/>
      <c r="Q41" s="17"/>
      <c r="R41" s="17"/>
      <c r="S41" s="17"/>
      <c r="T41" s="17"/>
      <c r="U41" s="17"/>
      <c r="V41" s="17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58"/>
      <c r="AI41" s="58"/>
      <c r="AJ41" s="58"/>
      <c r="AK41" s="58"/>
      <c r="AL41" s="115"/>
      <c r="AM41" s="115"/>
      <c r="AN41" s="112"/>
      <c r="AO41" s="103">
        <f>RTD("cqg.rtd", ,"ContractData",AQ41, "T_CVol")</f>
        <v>1591</v>
      </c>
      <c r="AQ41" s="103" t="str">
        <f>GLE!Q7</f>
        <v>GLEZ3</v>
      </c>
      <c r="AR41" s="103">
        <f>RTD("cqg.rtd", ,"ContractData",AT41, "T_CVol")</f>
        <v>72</v>
      </c>
      <c r="AT41" s="103" t="str">
        <f>GF!Q7</f>
        <v>GFV3</v>
      </c>
      <c r="AU41" s="103">
        <f>RTD("cqg.rtd", ,"ContractData",AW41, "T_CVol")</f>
        <v>696</v>
      </c>
      <c r="AV41" s="103" t="str">
        <f>RIGHT(RTD("cqg.rtd", ,"ContractData",AW41, "LongDescription"),6)</f>
        <v>t 2013</v>
      </c>
      <c r="AW41" s="103" t="str">
        <f>HE!Q7</f>
        <v>HEQ3</v>
      </c>
      <c r="BB41" s="100"/>
      <c r="BC41" s="99"/>
    </row>
    <row r="42" spans="2:55" ht="13.5" customHeight="1" x14ac:dyDescent="0.2">
      <c r="C42" s="17"/>
      <c r="D42" s="17"/>
      <c r="E42" s="17"/>
      <c r="F42" s="16"/>
      <c r="G42" s="16"/>
      <c r="H42" s="23"/>
      <c r="I42" s="23"/>
      <c r="J42" s="23"/>
      <c r="K42" s="23"/>
      <c r="L42" s="23"/>
      <c r="M42" s="23"/>
      <c r="N42" s="17"/>
      <c r="O42" s="17"/>
      <c r="P42" s="17"/>
      <c r="Q42" s="17"/>
      <c r="R42" s="17"/>
      <c r="S42" s="17"/>
      <c r="T42" s="17"/>
      <c r="U42" s="17"/>
      <c r="V42" s="17"/>
      <c r="W42" s="22"/>
      <c r="X42" s="22"/>
      <c r="Y42" s="22"/>
      <c r="Z42" s="22"/>
      <c r="AA42" s="23"/>
      <c r="AB42" s="23"/>
      <c r="AC42" s="23"/>
      <c r="AD42" s="23"/>
      <c r="AE42" s="23"/>
      <c r="AF42" s="23"/>
      <c r="AG42" s="23"/>
      <c r="AH42" s="58"/>
      <c r="AI42" s="58"/>
      <c r="AJ42" s="58"/>
      <c r="AK42" s="58"/>
      <c r="AL42" s="115"/>
      <c r="AM42" s="115"/>
      <c r="AN42" s="112"/>
      <c r="AO42" s="103">
        <f>RTD("cqg.rtd", ,"ContractData",AQ42, "T_CVol")</f>
        <v>171</v>
      </c>
      <c r="AQ42" s="103" t="str">
        <f>GLE!Q8</f>
        <v>GLEG4</v>
      </c>
      <c r="AR42" s="103">
        <f>RTD("cqg.rtd", ,"ContractData",AT42, "T_CVol")</f>
        <v>41</v>
      </c>
      <c r="AT42" s="103" t="str">
        <f>GF!Q8</f>
        <v>GFX3</v>
      </c>
      <c r="AU42" s="103">
        <f>RTD("cqg.rtd", ,"ContractData",AW42, "T_CVol")</f>
        <v>1101</v>
      </c>
      <c r="AV42" s="103" t="str">
        <f>RIGHT(RTD("cqg.rtd", ,"ContractData",AW42, "LongDescription"),6)</f>
        <v>r 2013</v>
      </c>
      <c r="AW42" s="103" t="str">
        <f>HE!Q8</f>
        <v>HEV3</v>
      </c>
      <c r="BB42" s="100"/>
      <c r="BC42" s="99"/>
    </row>
    <row r="43" spans="2:55" ht="13.5" customHeight="1" x14ac:dyDescent="0.25">
      <c r="C43" s="17"/>
      <c r="D43" s="17"/>
      <c r="E43" s="17"/>
      <c r="F43" s="22"/>
      <c r="G43" s="22"/>
      <c r="H43" s="22"/>
      <c r="I43" s="22"/>
      <c r="J43" s="22"/>
      <c r="K43" s="22"/>
      <c r="L43" s="22"/>
      <c r="M43" s="22"/>
      <c r="N43" s="17"/>
      <c r="O43" s="17"/>
      <c r="P43" s="17"/>
      <c r="Q43" s="17"/>
      <c r="R43" s="17"/>
      <c r="S43" s="17"/>
      <c r="T43" s="17"/>
      <c r="U43" s="17"/>
      <c r="V43" s="17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59"/>
      <c r="AI43" s="59"/>
      <c r="AJ43" s="59"/>
      <c r="AK43" s="59"/>
      <c r="AL43" s="115"/>
      <c r="AM43" s="115"/>
      <c r="AN43" s="112"/>
      <c r="AO43" s="103">
        <f>RTD("cqg.rtd", ,"ContractData",AQ43, "T_CVol")</f>
        <v>61</v>
      </c>
      <c r="AQ43" s="103" t="str">
        <f>GLE!Q9</f>
        <v>GLEJ4</v>
      </c>
      <c r="AR43" s="103">
        <f>RTD("cqg.rtd", ,"ContractData",AT43, "T_CVol")</f>
        <v>3</v>
      </c>
      <c r="AT43" s="103" t="str">
        <f>GF!Q9</f>
        <v>GFF4</v>
      </c>
      <c r="AU43" s="103">
        <f>RTD("cqg.rtd", ,"ContractData",AW43, "T_CVol")</f>
        <v>413</v>
      </c>
      <c r="AV43" s="103" t="str">
        <f>RIGHT(RTD("cqg.rtd", ,"ContractData",AW43, "LongDescription"),6)</f>
        <v>r 2013</v>
      </c>
      <c r="AW43" s="103" t="str">
        <f>HE!Q9</f>
        <v>HEZ3</v>
      </c>
      <c r="BB43" s="100"/>
      <c r="BC43" s="99"/>
    </row>
    <row r="44" spans="2:55" ht="14.25" customHeight="1" x14ac:dyDescent="0.2">
      <c r="C44" s="17"/>
      <c r="D44" s="17"/>
      <c r="E44" s="17"/>
      <c r="F44" s="16"/>
      <c r="G44" s="16"/>
      <c r="H44" s="23"/>
      <c r="I44" s="23"/>
      <c r="J44" s="23"/>
      <c r="K44" s="23"/>
      <c r="L44" s="23"/>
      <c r="M44" s="23"/>
      <c r="N44" s="17"/>
      <c r="O44" s="17"/>
      <c r="P44" s="17"/>
      <c r="Q44" s="17"/>
      <c r="R44" s="17"/>
      <c r="S44" s="17"/>
      <c r="T44" s="17"/>
      <c r="U44" s="17"/>
      <c r="V44" s="17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3"/>
      <c r="AI44" s="23"/>
      <c r="AJ44" s="23"/>
      <c r="AK44" s="23"/>
      <c r="AL44" s="116"/>
      <c r="AM44" s="116"/>
      <c r="AN44" s="112"/>
      <c r="AO44" s="103">
        <f>RTD("cqg.rtd", ,"ContractData",AQ44, "T_CVol")</f>
        <v>0</v>
      </c>
      <c r="AQ44" s="103" t="str">
        <f>GLE!Q10</f>
        <v>GLEM4</v>
      </c>
      <c r="AR44" s="103" t="str">
        <f>RTD("cqg.rtd", ,"ContractData",AT44, "T_CVol")</f>
        <v>295: 0 could not be resolved.</v>
      </c>
      <c r="AT44" s="103">
        <f>GF!Q10</f>
        <v>0</v>
      </c>
      <c r="AU44" s="103">
        <f>RTD("cqg.rtd", ,"ContractData",AW44, "T_CVol")</f>
        <v>310</v>
      </c>
      <c r="AV44" s="103" t="str">
        <f>RIGHT(RTD("cqg.rtd", ,"ContractData",AW44, "LongDescription"),6)</f>
        <v>y 2014</v>
      </c>
      <c r="AW44" s="103" t="str">
        <f>HE!Q10</f>
        <v>HEG4</v>
      </c>
      <c r="BB44" s="100"/>
      <c r="BC44" s="99"/>
    </row>
    <row r="45" spans="2:55" ht="13.5" customHeight="1" x14ac:dyDescent="0.2">
      <c r="C45" s="17"/>
      <c r="D45" s="17"/>
      <c r="E45" s="17"/>
      <c r="F45" s="22"/>
      <c r="G45" s="22"/>
      <c r="H45" s="22"/>
      <c r="I45" s="22"/>
      <c r="J45" s="22"/>
      <c r="K45" s="22"/>
      <c r="L45" s="22"/>
      <c r="M45" s="22"/>
      <c r="N45" s="21"/>
      <c r="O45" s="21"/>
      <c r="P45" s="21"/>
      <c r="Q45" s="21"/>
      <c r="R45" s="21"/>
      <c r="S45" s="21"/>
      <c r="T45" s="21"/>
      <c r="U45" s="21"/>
      <c r="V45" s="21"/>
      <c r="W45" s="23"/>
      <c r="X45" s="23"/>
      <c r="Y45" s="23"/>
      <c r="Z45" s="23"/>
      <c r="AA45" s="22"/>
      <c r="AB45" s="22"/>
      <c r="AC45" s="22"/>
      <c r="AD45" s="22"/>
      <c r="AE45" s="22"/>
      <c r="AF45" s="22"/>
      <c r="AG45" s="22"/>
      <c r="AH45" s="48"/>
      <c r="AI45" s="50"/>
      <c r="AJ45" s="50"/>
      <c r="AK45" s="50"/>
      <c r="AL45" s="117"/>
      <c r="AM45" s="117"/>
      <c r="AN45" s="112"/>
      <c r="AU45" s="103">
        <f>RTD("cqg.rtd", ,"ContractData",AW45, "T_CVol")</f>
        <v>210</v>
      </c>
      <c r="AV45" s="103" t="str">
        <f>RIGHT(RTD("cqg.rtd", ,"ContractData",AW45, "LongDescription"),6)</f>
        <v>l 2014</v>
      </c>
      <c r="AW45" s="103" t="str">
        <f>HE!Q11</f>
        <v>HEJ4</v>
      </c>
      <c r="BB45" s="100"/>
      <c r="BC45" s="99"/>
    </row>
    <row r="46" spans="2:55" x14ac:dyDescent="0.2">
      <c r="C46" s="17"/>
      <c r="D46" s="17"/>
      <c r="E46" s="17"/>
      <c r="F46" s="16"/>
      <c r="G46" s="16"/>
      <c r="H46" s="23"/>
      <c r="I46" s="23"/>
      <c r="J46" s="23"/>
      <c r="K46" s="23"/>
      <c r="L46" s="23"/>
      <c r="M46" s="23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3"/>
      <c r="AB46" s="23"/>
      <c r="AC46" s="23"/>
      <c r="AD46" s="23"/>
      <c r="AE46" s="23"/>
      <c r="AF46" s="23"/>
      <c r="AG46" s="23"/>
      <c r="AH46" s="51"/>
      <c r="AI46" s="22"/>
      <c r="AJ46" s="22"/>
      <c r="AK46" s="22"/>
      <c r="AL46" s="115"/>
      <c r="AM46" s="115"/>
      <c r="AN46" s="112"/>
      <c r="AU46" s="103">
        <f>RTD("cqg.rtd", ,"ContractData",AW46, "T_CVol")</f>
        <v>0</v>
      </c>
      <c r="AV46" s="103" t="str">
        <f>RIGHT(RTD("cqg.rtd", ,"ContractData",AW46, "LongDescription"),6)</f>
        <v>y 2014</v>
      </c>
      <c r="AW46" s="103" t="str">
        <f>HE!Q12</f>
        <v>HEK4</v>
      </c>
      <c r="BB46" s="100"/>
      <c r="BC46" s="99"/>
    </row>
    <row r="47" spans="2:55" x14ac:dyDescent="0.2">
      <c r="C47" s="17"/>
      <c r="D47" s="17"/>
      <c r="E47" s="17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51"/>
      <c r="AI47" s="22"/>
      <c r="AJ47" s="22"/>
      <c r="AK47" s="22"/>
      <c r="AL47" s="115"/>
      <c r="AM47" s="115"/>
      <c r="AN47" s="112"/>
      <c r="AU47" s="103">
        <f>RTD("cqg.rtd", ,"ContractData",AW47, "T_CVol")</f>
        <v>10</v>
      </c>
      <c r="AV47" s="103" t="str">
        <f>RIGHT(RTD("cqg.rtd", ,"ContractData",AW47, "LongDescription"),6)</f>
        <v>e 2014</v>
      </c>
      <c r="AW47" s="103" t="str">
        <f>HE!Q13</f>
        <v>HEM4</v>
      </c>
      <c r="BB47" s="100"/>
      <c r="BC47" s="99"/>
    </row>
    <row r="48" spans="2:55" x14ac:dyDescent="0.2">
      <c r="C48" s="17"/>
      <c r="D48" s="17"/>
      <c r="E48" s="17"/>
      <c r="F48" s="16"/>
      <c r="G48" s="16"/>
      <c r="H48" s="23"/>
      <c r="I48" s="23"/>
      <c r="J48" s="23"/>
      <c r="K48" s="23"/>
      <c r="L48" s="23"/>
      <c r="M48" s="23"/>
      <c r="N48" s="22"/>
      <c r="O48" s="22"/>
      <c r="P48" s="22"/>
      <c r="Q48" s="22"/>
      <c r="R48" s="22"/>
      <c r="S48" s="22"/>
      <c r="T48" s="22"/>
      <c r="U48" s="22"/>
      <c r="V48" s="22"/>
      <c r="W48" s="24"/>
      <c r="X48" s="24"/>
      <c r="Y48" s="22"/>
      <c r="Z48" s="22"/>
      <c r="AA48" s="22"/>
      <c r="AB48" s="22"/>
      <c r="AC48" s="22"/>
      <c r="AD48" s="22"/>
      <c r="AE48" s="22"/>
      <c r="AF48" s="22"/>
      <c r="AG48" s="22"/>
      <c r="AH48" s="51"/>
      <c r="AI48" s="22"/>
      <c r="AJ48" s="22"/>
      <c r="AK48" s="22"/>
      <c r="AL48" s="115"/>
      <c r="AM48" s="115"/>
      <c r="AN48" s="112"/>
      <c r="BB48" s="100"/>
      <c r="BC48" s="99"/>
    </row>
    <row r="49" spans="2:55" x14ac:dyDescent="0.2">
      <c r="C49" s="17"/>
      <c r="D49" s="17"/>
      <c r="E49" s="17"/>
      <c r="F49" s="22"/>
      <c r="G49" s="22"/>
      <c r="H49" s="22"/>
      <c r="I49" s="22"/>
      <c r="J49" s="22"/>
      <c r="K49" s="22"/>
      <c r="L49" s="22"/>
      <c r="M49" s="22"/>
      <c r="N49" s="21"/>
      <c r="O49" s="21"/>
      <c r="P49" s="21"/>
      <c r="Q49" s="21"/>
      <c r="R49" s="21"/>
      <c r="S49" s="21"/>
      <c r="T49" s="21"/>
      <c r="U49" s="21"/>
      <c r="V49" s="21"/>
      <c r="W49" s="24"/>
      <c r="X49" s="24"/>
      <c r="Y49" s="22"/>
      <c r="Z49" s="22"/>
      <c r="AA49" s="22"/>
      <c r="AB49" s="22"/>
      <c r="AC49" s="22"/>
      <c r="AD49" s="22"/>
      <c r="AE49" s="22"/>
      <c r="AF49" s="22"/>
      <c r="AG49" s="22"/>
      <c r="AH49" s="23"/>
      <c r="AI49" s="23"/>
      <c r="AJ49" s="23"/>
      <c r="AK49" s="23"/>
      <c r="AL49" s="116"/>
      <c r="AM49" s="112"/>
      <c r="AN49" s="112"/>
      <c r="BB49" s="100"/>
      <c r="BC49" s="99"/>
    </row>
    <row r="50" spans="2:55" x14ac:dyDescent="0.2">
      <c r="C50" s="17"/>
      <c r="D50" s="17"/>
      <c r="E50" s="17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4"/>
      <c r="X50" s="24"/>
      <c r="Y50" s="24"/>
      <c r="Z50" s="24"/>
      <c r="AA50" s="16"/>
      <c r="AB50" s="16"/>
      <c r="AC50" s="23"/>
      <c r="AD50" s="23"/>
      <c r="AE50" s="23"/>
      <c r="AF50" s="23"/>
      <c r="AG50" s="23"/>
      <c r="AH50" s="17"/>
      <c r="AI50" s="17"/>
      <c r="AJ50" s="17"/>
      <c r="AK50" s="17"/>
      <c r="AL50" s="115"/>
      <c r="BB50" s="100"/>
      <c r="BC50" s="99"/>
    </row>
    <row r="51" spans="2:55" x14ac:dyDescent="0.2">
      <c r="C51" s="21"/>
      <c r="D51" s="21"/>
      <c r="E51" s="21"/>
      <c r="F51" s="22"/>
      <c r="G51" s="22"/>
      <c r="H51" s="22"/>
      <c r="I51" s="22"/>
      <c r="J51" s="22"/>
      <c r="K51" s="22"/>
      <c r="L51" s="22"/>
      <c r="M51" s="22"/>
      <c r="N51" s="24"/>
      <c r="O51" s="2"/>
      <c r="P51" s="2"/>
      <c r="Q51" s="2"/>
      <c r="R51" s="2"/>
      <c r="S51" s="2"/>
      <c r="T51" s="2"/>
      <c r="U51" s="2"/>
      <c r="V51" s="2"/>
      <c r="W51" s="24"/>
      <c r="X51" s="24"/>
      <c r="Y51" s="24"/>
      <c r="Z51" s="24"/>
      <c r="AA51" s="22"/>
      <c r="AB51" s="22"/>
      <c r="AC51" s="22"/>
      <c r="AD51" s="22"/>
      <c r="AE51" s="22"/>
      <c r="AF51" s="22"/>
      <c r="AG51" s="22"/>
      <c r="AH51" s="18"/>
      <c r="AI51" s="19"/>
      <c r="AJ51" s="19"/>
      <c r="AK51" s="19"/>
      <c r="AL51" s="112"/>
      <c r="BB51" s="100"/>
      <c r="BC51" s="99"/>
    </row>
    <row r="52" spans="2:55" ht="12.6" customHeight="1" thickBot="1" x14ac:dyDescent="0.25">
      <c r="C52" s="22"/>
      <c r="D52" s="22"/>
      <c r="E52" s="22"/>
      <c r="F52" s="2"/>
      <c r="G52" s="2"/>
      <c r="H52" s="16"/>
      <c r="I52" s="16"/>
      <c r="J52" s="23"/>
      <c r="K52" s="23"/>
      <c r="L52" s="23"/>
      <c r="M52" s="23"/>
      <c r="N52" s="24"/>
      <c r="O52" s="2"/>
      <c r="P52" s="2"/>
      <c r="Q52" s="2"/>
      <c r="R52" s="2"/>
      <c r="S52" s="2"/>
      <c r="T52" s="2"/>
      <c r="U52" s="2"/>
      <c r="V52" s="2"/>
      <c r="W52" s="24"/>
      <c r="X52" s="24"/>
      <c r="Y52" s="24"/>
      <c r="Z52" s="24"/>
      <c r="AA52" s="22"/>
      <c r="AB52" s="22"/>
      <c r="AC52" s="22"/>
      <c r="AD52" s="22"/>
      <c r="AE52" s="22"/>
      <c r="AF52" s="22"/>
      <c r="AG52" s="22"/>
      <c r="AH52" s="18"/>
      <c r="AI52" s="19"/>
      <c r="AJ52" s="19"/>
      <c r="AK52" s="19"/>
      <c r="AL52" s="112"/>
      <c r="BB52" s="100"/>
      <c r="BC52" s="99"/>
    </row>
    <row r="53" spans="2:55" ht="12.6" customHeight="1" thickBot="1" x14ac:dyDescent="0.25">
      <c r="B53" s="156" t="s">
        <v>22</v>
      </c>
      <c r="C53" s="157"/>
      <c r="D53" s="157"/>
      <c r="E53" s="157"/>
      <c r="F53" s="30"/>
      <c r="G53" s="157" t="s">
        <v>21</v>
      </c>
      <c r="H53" s="157"/>
      <c r="I53" s="157"/>
      <c r="J53" s="157"/>
      <c r="K53" s="157"/>
      <c r="L53" s="28"/>
      <c r="M53" s="25" t="s">
        <v>8</v>
      </c>
      <c r="N53" s="159">
        <f>RTD("cqg.rtd", ,"SystemInfo", "Linetime")</f>
        <v>41316.517303460649</v>
      </c>
      <c r="O53" s="159"/>
      <c r="P53" s="159"/>
      <c r="Q53" s="26"/>
      <c r="R53" s="29"/>
      <c r="S53" s="25" t="s">
        <v>9</v>
      </c>
      <c r="T53" s="159">
        <f>RTD("cqg.rtd", ,"SystemInfo", "Linetime")+1/24</f>
        <v>41316.558970127313</v>
      </c>
      <c r="U53" s="159"/>
      <c r="V53" s="61"/>
      <c r="W53" s="61"/>
      <c r="X53" s="158" t="s">
        <v>17</v>
      </c>
      <c r="Y53" s="158"/>
      <c r="Z53" s="159">
        <f>RTD("cqg.rtd", ,"SystemInfo", "Linetime")+6/24</f>
        <v>41316.767303460649</v>
      </c>
      <c r="AA53" s="159"/>
      <c r="AB53" s="27"/>
      <c r="AC53" s="27"/>
      <c r="AD53" s="158" t="s">
        <v>18</v>
      </c>
      <c r="AE53" s="158"/>
      <c r="AF53" s="159">
        <f>RTD("cqg.rtd", ,"SystemInfo", "Linetime")+14/24</f>
        <v>41317.100636793984</v>
      </c>
      <c r="AG53" s="159"/>
      <c r="AH53" s="27"/>
      <c r="AI53" s="27"/>
      <c r="AJ53" s="28"/>
      <c r="AK53" s="28"/>
      <c r="AL53" s="118"/>
      <c r="BB53" s="100"/>
      <c r="BC53" s="99"/>
    </row>
    <row r="54" spans="2:55" ht="12.6" customHeight="1" x14ac:dyDescent="0.2">
      <c r="C54" s="17"/>
      <c r="D54" s="17"/>
      <c r="E54" s="17"/>
      <c r="F54" s="17"/>
      <c r="G54" s="17"/>
      <c r="H54" s="17"/>
      <c r="I54" s="17"/>
      <c r="J54" s="22"/>
      <c r="K54" s="22"/>
      <c r="L54" s="22"/>
      <c r="M54" s="22"/>
      <c r="N54" s="24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  <c r="AA54" s="24"/>
      <c r="AB54" s="24"/>
      <c r="AC54" s="16"/>
      <c r="AD54" s="16"/>
      <c r="AE54" s="23"/>
      <c r="AF54" s="23"/>
      <c r="AG54" s="23"/>
      <c r="AH54" s="18"/>
      <c r="AI54" s="19"/>
      <c r="AJ54" s="19"/>
      <c r="AK54" s="19"/>
      <c r="AL54" s="112"/>
      <c r="BB54" s="100"/>
      <c r="BC54" s="99"/>
    </row>
    <row r="55" spans="2:55" ht="12.6" customHeight="1" x14ac:dyDescent="0.2">
      <c r="C55" s="17"/>
      <c r="D55" s="17"/>
      <c r="E55" s="17"/>
      <c r="F55" s="17"/>
      <c r="G55" s="17"/>
      <c r="H55" s="17"/>
      <c r="I55" s="17"/>
      <c r="J55" s="22"/>
      <c r="K55" s="22"/>
      <c r="L55" s="22"/>
      <c r="M55" s="22"/>
      <c r="N55" s="24"/>
      <c r="O55" s="2"/>
      <c r="P55" s="2"/>
      <c r="Q55" s="2"/>
      <c r="R55" s="2"/>
      <c r="S55" s="2"/>
      <c r="T55" s="2"/>
      <c r="U55" s="2"/>
      <c r="V55" s="2"/>
      <c r="W55" s="24"/>
      <c r="X55" s="24"/>
      <c r="Y55" s="24"/>
      <c r="Z55" s="24"/>
      <c r="AA55" s="24"/>
      <c r="AB55" s="24"/>
      <c r="AC55" s="22"/>
      <c r="AD55" s="22"/>
      <c r="AE55" s="22"/>
      <c r="AF55" s="22"/>
      <c r="AG55" s="22"/>
      <c r="AH55" s="18"/>
      <c r="AI55" s="19"/>
      <c r="AJ55" s="19"/>
      <c r="AK55" s="19"/>
      <c r="AL55" s="112"/>
      <c r="BB55" s="100"/>
      <c r="BC55" s="99"/>
    </row>
    <row r="56" spans="2:55" ht="12.6" customHeight="1" x14ac:dyDescent="0.2">
      <c r="AG56" s="4"/>
      <c r="AH56" s="18"/>
      <c r="AI56" s="19"/>
      <c r="AJ56" s="19"/>
      <c r="AK56" s="19"/>
      <c r="AL56" s="112"/>
      <c r="AP56" s="103" t="s">
        <v>19</v>
      </c>
      <c r="AQ56" s="103" t="s">
        <v>20</v>
      </c>
      <c r="BB56" s="100"/>
      <c r="BC56" s="99"/>
    </row>
    <row r="57" spans="2:55" ht="12.6" customHeight="1" x14ac:dyDescent="0.2">
      <c r="C57" s="17"/>
      <c r="D57" s="17"/>
      <c r="E57" s="17"/>
      <c r="F57" s="17"/>
      <c r="G57" s="17"/>
      <c r="H57" s="17"/>
      <c r="I57" s="17"/>
      <c r="J57" s="22"/>
      <c r="K57" s="22"/>
      <c r="L57" s="22"/>
      <c r="M57" s="22"/>
      <c r="AE57" s="22"/>
      <c r="AF57" s="22"/>
      <c r="AG57" s="22"/>
      <c r="AH57" s="20"/>
      <c r="AI57" s="19"/>
      <c r="AJ57" s="19"/>
      <c r="AK57" s="19"/>
      <c r="AL57" s="112"/>
      <c r="AP57" s="103">
        <f>RTD("cqg.rtd", ,"ContractData",AQ36, "Settlement",,"T")</f>
        <v>126.45</v>
      </c>
      <c r="AQ57" s="103">
        <f>RTD("cqg.rtd", ,"ContractData",AT36, "Settlement",,"T")</f>
        <v>145</v>
      </c>
      <c r="AR57" s="103">
        <f>AQ57-AP57</f>
        <v>18.549999999999997</v>
      </c>
      <c r="AS57" s="119">
        <f>AM33-AR57</f>
        <v>-0.9375</v>
      </c>
      <c r="BB57" s="100"/>
      <c r="BC57" s="99"/>
    </row>
    <row r="58" spans="2:55" x14ac:dyDescent="0.2">
      <c r="AH58" s="4"/>
      <c r="AP58" s="103">
        <f>RTD("cqg.rtd", ,"ContractData",AQ37, "Settlement",,"T")</f>
        <v>130.125</v>
      </c>
      <c r="AQ58" s="103">
        <f>RTD("cqg.rtd", ,"ContractData",AT37, "Settlement",,"T")</f>
        <v>148.19999999999999</v>
      </c>
      <c r="AR58" s="103">
        <f t="shared" ref="AR58:AR65" si="1">AQ58-AP58</f>
        <v>18.074999999999989</v>
      </c>
      <c r="AS58" s="119">
        <f>AN33-AR58</f>
        <v>-0.29999999999999716</v>
      </c>
      <c r="BB58" s="100"/>
      <c r="BC58" s="99"/>
    </row>
    <row r="59" spans="2:55" ht="15" customHeight="1" x14ac:dyDescent="0.2">
      <c r="AH59" s="4"/>
      <c r="AP59" s="103">
        <f>RTD("cqg.rtd", ,"ContractData",AQ38, "Settlement",,"T")</f>
        <v>125.7</v>
      </c>
      <c r="AQ59" s="103">
        <f>RTD("cqg.rtd", ,"ContractData",AT38, "Settlement",,"T")</f>
        <v>150.52500000000001</v>
      </c>
      <c r="AR59" s="103">
        <f t="shared" si="1"/>
        <v>24.825000000000003</v>
      </c>
      <c r="AS59" s="119">
        <f>AO33-AR59</f>
        <v>0.12499999999998579</v>
      </c>
      <c r="BB59" s="100"/>
      <c r="BC59" s="99"/>
    </row>
    <row r="60" spans="2:55" x14ac:dyDescent="0.2">
      <c r="AH60" s="4"/>
      <c r="AP60" s="103">
        <f>RTD("cqg.rtd", ,"ContractData",AQ39, "Settlement",,"T")</f>
        <v>126.47499999999999</v>
      </c>
      <c r="AQ60" s="103">
        <f>RTD("cqg.rtd", ,"ContractData",AT39, "Settlement",,"T")</f>
        <v>156.69999999999999</v>
      </c>
      <c r="AR60" s="103">
        <f t="shared" si="1"/>
        <v>30.224999999999994</v>
      </c>
      <c r="AS60" s="119">
        <f>AP33-AR60</f>
        <v>0.45000000000000995</v>
      </c>
      <c r="BB60" s="100"/>
      <c r="BC60" s="99"/>
    </row>
    <row r="61" spans="2:55" x14ac:dyDescent="0.2">
      <c r="AH61" s="3"/>
      <c r="AP61" s="103">
        <f>RTD("cqg.rtd", ,"ContractData",AQ40, "Settlement",,"T")</f>
        <v>130.30000000000001</v>
      </c>
      <c r="AQ61" s="103">
        <f>RTD("cqg.rtd", ,"ContractData",AT40, "Settlement",,"T")</f>
        <v>157.82499999999999</v>
      </c>
      <c r="AR61" s="103">
        <f t="shared" si="1"/>
        <v>27.524999999999977</v>
      </c>
      <c r="AS61" s="119">
        <f>AQ33-AR61</f>
        <v>0.57500000000001705</v>
      </c>
      <c r="BB61" s="100"/>
      <c r="BC61" s="99"/>
    </row>
    <row r="62" spans="2:55" x14ac:dyDescent="0.2">
      <c r="AH62" s="4"/>
      <c r="AP62" s="103">
        <f>RTD("cqg.rtd", ,"ContractData",AQ41, "Settlement",,"T")</f>
        <v>131.875</v>
      </c>
      <c r="AQ62" s="103">
        <f>RTD("cqg.rtd", ,"ContractData",AT41, "Settlement",,"T")</f>
        <v>159.1</v>
      </c>
      <c r="AR62" s="103">
        <f t="shared" si="1"/>
        <v>27.224999999999994</v>
      </c>
      <c r="AS62" s="119">
        <f>AR33-AR62</f>
        <v>8.7499999999991473E-2</v>
      </c>
      <c r="BB62" s="100"/>
      <c r="BC62" s="99"/>
    </row>
    <row r="63" spans="2:55" x14ac:dyDescent="0.2">
      <c r="AH63" s="4"/>
      <c r="AP63" s="103">
        <f>RTD("cqg.rtd", ,"ContractData",AQ42, "Settlement",,"T")</f>
        <v>133.05000000000001</v>
      </c>
      <c r="AQ63" s="103">
        <f>RTD("cqg.rtd", ,"ContractData",AT42, "Settlement",,"T")</f>
        <v>160.1</v>
      </c>
      <c r="AR63" s="103">
        <f t="shared" si="1"/>
        <v>27.049999999999983</v>
      </c>
      <c r="AS63" s="119">
        <f>AS33-AR63</f>
        <v>0.22500000000002274</v>
      </c>
      <c r="BB63" s="100"/>
      <c r="BC63" s="99"/>
    </row>
    <row r="64" spans="2:55" x14ac:dyDescent="0.2">
      <c r="AH64" s="4"/>
      <c r="AP64" s="103">
        <f>RTD("cqg.rtd", ,"ContractData",AQ43, "Settlement",,"T")</f>
        <v>134.75</v>
      </c>
      <c r="AQ64" s="103">
        <f>RTD("cqg.rtd", ,"ContractData",AT43, "Settlement",,"T")</f>
        <v>162</v>
      </c>
      <c r="AR64" s="103">
        <f t="shared" si="1"/>
        <v>27.25</v>
      </c>
      <c r="AS64" s="119">
        <f>AT33-AR64</f>
        <v>-1.0250000000000057</v>
      </c>
      <c r="BB64" s="100"/>
      <c r="BC64" s="99"/>
    </row>
    <row r="65" spans="34:55" x14ac:dyDescent="0.2">
      <c r="AH65" s="3"/>
      <c r="AP65" s="103">
        <f>RTD("cqg.rtd", ,"ContractData",AQ44, "Settlement",,"T")</f>
        <v>131.77500000000001</v>
      </c>
      <c r="AQ65" s="103" t="str">
        <f>RTD("cqg.rtd", ,"ContractData",AT44, "Settlement",,"T")</f>
        <v>295: 0 could not be resolved.</v>
      </c>
      <c r="AR65" s="103" t="e">
        <f t="shared" si="1"/>
        <v>#VALUE!</v>
      </c>
      <c r="BB65" s="100"/>
      <c r="BC65" s="99"/>
    </row>
    <row r="66" spans="34:55" x14ac:dyDescent="0.2">
      <c r="AH66" s="4"/>
      <c r="BB66" s="100"/>
      <c r="BC66" s="99"/>
    </row>
    <row r="67" spans="34:55" x14ac:dyDescent="0.2">
      <c r="AH67" s="4"/>
      <c r="BB67" s="100"/>
      <c r="BC67" s="99"/>
    </row>
    <row r="68" spans="34:55" x14ac:dyDescent="0.2">
      <c r="AH68" s="4"/>
      <c r="BB68" s="100"/>
      <c r="BC68" s="99"/>
    </row>
    <row r="69" spans="34:55" x14ac:dyDescent="0.2">
      <c r="BB69" s="100"/>
      <c r="BC69" s="99"/>
    </row>
  </sheetData>
  <sheetProtection password="DDC6" sheet="1" objects="1" scenarios="1" selectLockedCells="1" selectUnlockedCells="1"/>
  <mergeCells count="125">
    <mergeCell ref="P36:Q36"/>
    <mergeCell ref="R34:S34"/>
    <mergeCell ref="R36:S36"/>
    <mergeCell ref="G34:H34"/>
    <mergeCell ref="G36:H36"/>
    <mergeCell ref="I34:J34"/>
    <mergeCell ref="I36:J36"/>
    <mergeCell ref="K34:L34"/>
    <mergeCell ref="K36:L36"/>
    <mergeCell ref="M34:N34"/>
    <mergeCell ref="M36:N36"/>
    <mergeCell ref="B53:E53"/>
    <mergeCell ref="G53:K53"/>
    <mergeCell ref="AD53:AE53"/>
    <mergeCell ref="AF53:AG53"/>
    <mergeCell ref="N53:P53"/>
    <mergeCell ref="T53:U53"/>
    <mergeCell ref="Z53:AA53"/>
    <mergeCell ref="X53:Y53"/>
    <mergeCell ref="AL36:AM36"/>
    <mergeCell ref="T40:U40"/>
    <mergeCell ref="W40:X40"/>
    <mergeCell ref="Y40:Z40"/>
    <mergeCell ref="AA40:AB40"/>
    <mergeCell ref="AC40:AD40"/>
    <mergeCell ref="AE40:AF40"/>
    <mergeCell ref="AH40:AI40"/>
    <mergeCell ref="AJ40:AK40"/>
    <mergeCell ref="AL40:AM40"/>
    <mergeCell ref="T38:U38"/>
    <mergeCell ref="AF38:AG38"/>
    <mergeCell ref="AH38:AI38"/>
    <mergeCell ref="AJ38:AK38"/>
    <mergeCell ref="Z38:AA38"/>
    <mergeCell ref="AB38:AC38"/>
    <mergeCell ref="AD38:AE38"/>
    <mergeCell ref="V38:W38"/>
    <mergeCell ref="X38:Y38"/>
    <mergeCell ref="B33:C33"/>
    <mergeCell ref="M33:N33"/>
    <mergeCell ref="P33:Q33"/>
    <mergeCell ref="R33:S33"/>
    <mergeCell ref="T33:U33"/>
    <mergeCell ref="AH6:AI6"/>
    <mergeCell ref="AH7:AI7"/>
    <mergeCell ref="AH11:AI11"/>
    <mergeCell ref="T11:U11"/>
    <mergeCell ref="B11:C11"/>
    <mergeCell ref="E11:F11"/>
    <mergeCell ref="B6:C6"/>
    <mergeCell ref="B7:C7"/>
    <mergeCell ref="E6:F6"/>
    <mergeCell ref="E7:F7"/>
    <mergeCell ref="T6:U6"/>
    <mergeCell ref="T7:U7"/>
    <mergeCell ref="K6:L6"/>
    <mergeCell ref="M6:N6"/>
    <mergeCell ref="P6:Q6"/>
    <mergeCell ref="P7:Q7"/>
    <mergeCell ref="AJ6:AK6"/>
    <mergeCell ref="AJ7:AK7"/>
    <mergeCell ref="AJ11:AK11"/>
    <mergeCell ref="AD11:AE11"/>
    <mergeCell ref="V33:AK33"/>
    <mergeCell ref="AF11:AG11"/>
    <mergeCell ref="Z6:AA6"/>
    <mergeCell ref="Z7:AA7"/>
    <mergeCell ref="Z11:AA11"/>
    <mergeCell ref="AB6:AC6"/>
    <mergeCell ref="AB7:AC7"/>
    <mergeCell ref="AB11:AC11"/>
    <mergeCell ref="X11:Y11"/>
    <mergeCell ref="V6:W6"/>
    <mergeCell ref="V7:W7"/>
    <mergeCell ref="V11:W11"/>
    <mergeCell ref="AL35:AM35"/>
    <mergeCell ref="E33:F33"/>
    <mergeCell ref="G33:H33"/>
    <mergeCell ref="I33:J33"/>
    <mergeCell ref="K33:L33"/>
    <mergeCell ref="AF34:AG34"/>
    <mergeCell ref="AH34:AI34"/>
    <mergeCell ref="AJ34:AK34"/>
    <mergeCell ref="Z34:AA34"/>
    <mergeCell ref="AB34:AC34"/>
    <mergeCell ref="AD34:AE34"/>
    <mergeCell ref="T34:U34"/>
    <mergeCell ref="V34:W34"/>
    <mergeCell ref="X34:Y34"/>
    <mergeCell ref="P34:Q34"/>
    <mergeCell ref="K7:L7"/>
    <mergeCell ref="M7:N7"/>
    <mergeCell ref="AD6:AE6"/>
    <mergeCell ref="AD7:AE7"/>
    <mergeCell ref="G11:H11"/>
    <mergeCell ref="I11:J11"/>
    <mergeCell ref="K11:L11"/>
    <mergeCell ref="M11:N11"/>
    <mergeCell ref="P11:Q11"/>
    <mergeCell ref="R11:S11"/>
    <mergeCell ref="R6:S6"/>
    <mergeCell ref="B34:C34"/>
    <mergeCell ref="B36:C36"/>
    <mergeCell ref="E34:F34"/>
    <mergeCell ref="E36:F36"/>
    <mergeCell ref="AE3:AH3"/>
    <mergeCell ref="AI3:AK3"/>
    <mergeCell ref="C3:F3"/>
    <mergeCell ref="H3:L3"/>
    <mergeCell ref="N3:W3"/>
    <mergeCell ref="Y3:AC3"/>
    <mergeCell ref="G6:H6"/>
    <mergeCell ref="G7:H7"/>
    <mergeCell ref="I6:J6"/>
    <mergeCell ref="I7:J7"/>
    <mergeCell ref="X6:Y6"/>
    <mergeCell ref="X7:Y7"/>
    <mergeCell ref="AF6:AG6"/>
    <mergeCell ref="AF7:AG7"/>
    <mergeCell ref="B4:C5"/>
    <mergeCell ref="V4:W5"/>
    <mergeCell ref="F4:U5"/>
    <mergeCell ref="X4:AK5"/>
    <mergeCell ref="E4:E5"/>
    <mergeCell ref="R7:S7"/>
  </mergeCells>
  <conditionalFormatting sqref="N46:N47"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J37:K39"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N44">
    <cfRule type="expression" dxfId="7" priority="209">
      <formula>$N$47&lt;0</formula>
    </cfRule>
  </conditionalFormatting>
  <conditionalFormatting sqref="N48:N50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N47:N50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N48:N50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N43:N47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C43:C52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F52:G52">
    <cfRule type="expression" dxfId="6" priority="20">
      <formula>$N$47&lt;0</formula>
    </cfRule>
  </conditionalFormatting>
  <conditionalFormatting sqref="F51:G52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F54:G54">
    <cfRule type="expression" dxfId="5" priority="18">
      <formula>$N$47&lt;0</formula>
    </cfRule>
  </conditionalFormatting>
  <conditionalFormatting sqref="F54:G54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F54:G54">
    <cfRule type="expression" dxfId="4" priority="16">
      <formula>$N$47&lt;0</formula>
    </cfRule>
  </conditionalFormatting>
  <conditionalFormatting sqref="F54:G54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F55:G55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F54:G54">
    <cfRule type="expression" dxfId="3" priority="12">
      <formula>$N$47&lt;0</formula>
    </cfRule>
  </conditionalFormatting>
  <conditionalFormatting sqref="F54:G54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F55:G5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F55:G5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F58:G58">
    <cfRule type="expression" dxfId="2" priority="6">
      <formula>$N$47&lt;0</formula>
    </cfRule>
  </conditionalFormatting>
  <conditionalFormatting sqref="F58:G5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F57:G57">
    <cfRule type="expression" dxfId="1" priority="4">
      <formula>$N$47&lt;0</formula>
    </cfRule>
  </conditionalFormatting>
  <conditionalFormatting sqref="F57:G5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E56:F56">
    <cfRule type="expression" dxfId="0" priority="2">
      <formula>$N$47&lt;0</formula>
    </cfRule>
  </conditionalFormatting>
  <conditionalFormatting sqref="E56:F5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{8ACA05C3-3642-4B62-871D-6168D60D14D4}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N46:N47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J37:K39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N48:N50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N47:N50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N48:N50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N43:N47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C43:C52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F51:G52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F54:G54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F54:G54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F55:G55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F54:G54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F55:G55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F55:G55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8ACA05C3-3642-4B62-871D-6168D60D14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E56:F56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6"/>
  <sheetViews>
    <sheetView topLeftCell="O1" workbookViewId="0">
      <selection activeCell="P2" sqref="P2"/>
    </sheetView>
  </sheetViews>
  <sheetFormatPr defaultColWidth="9" defaultRowHeight="14.25" x14ac:dyDescent="0.2"/>
  <cols>
    <col min="1" max="17" width="9" style="7"/>
    <col min="18" max="18" width="14.375" style="7" customWidth="1"/>
    <col min="19" max="20" width="9" style="7"/>
    <col min="21" max="21" width="17.25" style="7" customWidth="1"/>
    <col min="22" max="34" width="9" style="7"/>
    <col min="35" max="35" width="9.25" style="7" customWidth="1"/>
    <col min="36" max="16384" width="9" style="7"/>
  </cols>
  <sheetData>
    <row r="1" spans="1:38" x14ac:dyDescent="0.2">
      <c r="A1" s="6"/>
      <c r="B1" s="6"/>
      <c r="C1" s="6" t="s">
        <v>2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  <c r="P1" s="8"/>
      <c r="Q1" s="9" t="str">
        <f>Main!B4</f>
        <v>F.GLE</v>
      </c>
      <c r="R1" s="10" t="s">
        <v>3</v>
      </c>
      <c r="S1" s="10" t="s">
        <v>0</v>
      </c>
      <c r="T1" s="10" t="s">
        <v>1</v>
      </c>
      <c r="U1" s="8" t="s">
        <v>4</v>
      </c>
      <c r="V1" s="8"/>
      <c r="W1" s="10" t="s">
        <v>3</v>
      </c>
      <c r="X1" s="8" t="s">
        <v>4</v>
      </c>
      <c r="Y1" s="10" t="s">
        <v>0</v>
      </c>
      <c r="Z1" s="10" t="s">
        <v>1</v>
      </c>
      <c r="AA1" s="8" t="s">
        <v>5</v>
      </c>
      <c r="AB1" s="8" t="s">
        <v>5</v>
      </c>
      <c r="AC1" s="11"/>
      <c r="AD1" s="8" t="s">
        <v>5</v>
      </c>
    </row>
    <row r="2" spans="1:38" x14ac:dyDescent="0.2">
      <c r="A2" s="6" t="str">
        <f>Q2</f>
        <v>GLEG3</v>
      </c>
      <c r="B2" s="6" t="str">
        <f>RTD("cqg.rtd", ,"ContractData",A2, "ContractMonth")</f>
        <v>FEB</v>
      </c>
      <c r="C2" s="12" t="str">
        <f>IF(B2="Jan","F",IF(B2="Feb","G",IF(B2="Mar","H",IF(B2="Apr","J",IF(B2="May","K",IF(B2="JUN","M",IF(B2="Jul","N",IF(B2="Aug","Q",IF(B2="Sep","U",IF(B2="Oct","V",IF(B2="Nov","X",IF(B2="Dec","Z"))))))))))))</f>
        <v>G</v>
      </c>
      <c r="D2" s="7" t="str">
        <f>$Q$1&amp;$C$1&amp;$D$1&amp;$C2</f>
        <v>F.GLES1G</v>
      </c>
      <c r="E2" s="7" t="str">
        <f>$Q$1&amp;$C$1&amp;$E$1&amp;$C2</f>
        <v>F.GLES2G</v>
      </c>
      <c r="F2" s="7" t="str">
        <f>$Q$1&amp;$C$1&amp;$F$1&amp;$C2</f>
        <v>F.GLES3G</v>
      </c>
      <c r="G2" s="7" t="str">
        <f>$Q$1&amp;$C$1&amp;$G$1&amp;$C2</f>
        <v>F.GLES4G</v>
      </c>
      <c r="H2" s="7" t="str">
        <f>$Q$1&amp;$C$1&amp;$H$1&amp;$C2</f>
        <v>F.GLES5G</v>
      </c>
      <c r="I2" s="7" t="str">
        <f>$Q$1&amp;$C$1&amp;$I$1&amp;$C2</f>
        <v>F.GLES6G</v>
      </c>
      <c r="J2" s="7" t="str">
        <f>$Q$1&amp;$C$1&amp;$J$1&amp;$C2</f>
        <v>F.GLES7G</v>
      </c>
      <c r="K2" s="7" t="str">
        <f t="shared" ref="K2" si="0">$Q$1&amp;$C$1&amp;$K$1&amp;$C2</f>
        <v>F.GLES8G</v>
      </c>
      <c r="L2" s="7" t="str">
        <f>$Q$1&amp;$C$1&amp;$L$1&amp;$C2</f>
        <v>F.GLES9G</v>
      </c>
      <c r="M2" s="7" t="str">
        <f>$Q$1&amp;$C$1&amp;$M$1&amp;$C2</f>
        <v>F.GLES10G</v>
      </c>
      <c r="N2" s="7" t="str">
        <f>$Q$1&amp;$C$1&amp;$N$1&amp;$C2</f>
        <v>F.GLES11G</v>
      </c>
      <c r="O2" s="7" t="str">
        <f>$Q$1&amp;$C$1&amp;$O$1&amp;$C2</f>
        <v>F.GLES12G</v>
      </c>
      <c r="P2" s="8" t="str">
        <f t="shared" ref="P2:P10" si="1">LEFT(RIGHT(Q2,2),1)</f>
        <v>G</v>
      </c>
      <c r="Q2" s="13" t="str">
        <f>RTD("cqg.rtd", ,"ContractData", $Q$1&amp;"?"&amp;R35, "Symbol")</f>
        <v>GLEG3</v>
      </c>
      <c r="R2" s="11">
        <f>RTD("cqg.rtd", ,"ContractData", Q2, $R$1,,"T")</f>
        <v>126.925</v>
      </c>
      <c r="S2" s="11">
        <f>RTD("cqg.rtd", ,"ContractData", Q2,$S$1,,"T")</f>
        <v>126.925</v>
      </c>
      <c r="T2" s="11">
        <f>RTD("cqg.rtd", ,"ContractData", Q2,$T$1,,"T")</f>
        <v>126.95</v>
      </c>
      <c r="U2" s="11">
        <f>RTD("cqg.rtd", ,"ContractData",Q2, $U$1,,"T")</f>
        <v>0.47499999999999998</v>
      </c>
      <c r="V2" s="8" t="str">
        <f>D2</f>
        <v>F.GLES1G</v>
      </c>
      <c r="W2" s="11">
        <f>RTD("cqg.rtd", ,"ContractData", V2, $W$1,,"T")</f>
        <v>-3.35</v>
      </c>
      <c r="X2" s="11">
        <f>RTD("cqg.rtd", ,"ContractData", V2, $X$1,,"T")</f>
        <v>0.32500000000000001</v>
      </c>
      <c r="Y2" s="11">
        <f>RTD("cqg.rtd", ,"ContractData",V2,$Y$1,,"T")</f>
        <v>-3.375</v>
      </c>
      <c r="Z2" s="11">
        <f>RTD("cqg.rtd", ,"ContractData", V2,$Z$1,,"T")</f>
        <v>-3.35</v>
      </c>
      <c r="AA2" s="11">
        <f>IF(OR(W2="",W2&lt;Y2,W2&gt;Z2),(Y2+Z2)/2,W2)</f>
        <v>-3.35</v>
      </c>
      <c r="AB2" s="11">
        <f t="shared" ref="AB2:AB7" si="2">IF(OR(S2="",T2=""),R2,(IF(OR(R2="",R2&lt;S2,R2&gt;T2),(S2+T2)/2,R2)))</f>
        <v>126.925</v>
      </c>
      <c r="AC2" s="11">
        <f>IF(OR(R2="",R2&lt;S2,R2&gt;T2),(S2+T2)/2,R2)</f>
        <v>126.925</v>
      </c>
      <c r="AD2" s="11">
        <f>IF(OR(Y2="",Z2=""),W2,(IF(OR(W2="",W2&lt;Y2,W2&gt;Z2),(Y2+Z2)/2,W2)))</f>
        <v>-3.35</v>
      </c>
      <c r="AF2" s="7">
        <f>IF(ISERROR(AC2),NA(),AC2)</f>
        <v>126.925</v>
      </c>
      <c r="AG2" s="7">
        <f t="shared" ref="AG2:AG10" si="3">IF(AD2="",NA(),AD2)</f>
        <v>-3.35</v>
      </c>
      <c r="AH2" s="7" t="str">
        <f>IF(P2="F","JAN",IF(P2="G","FEB",IF(P2="H","MAR",IF(P2="J","APR",IF(P2="K","MAY",IF(P2="M","JUN",IF(P2="N","JUL",IF(P2="Q","AUG",IF(P2="U","SEP",IF(P2="V","OCT",IF(P2="X","NOV",IF(P2="Z","DEC",))))))))))))</f>
        <v>FEB</v>
      </c>
      <c r="AI2" s="7" t="str">
        <f>RIGHT(RTD("cqg.rtd", ,"ContractData",V2, "LongDescription"),6)</f>
        <v>y 2013</v>
      </c>
      <c r="AJ2" s="7">
        <f>RTD("cqg.rtd", ,"ContractData",Q2, "Settlement",,"T")</f>
        <v>126.45</v>
      </c>
      <c r="AK2" s="7">
        <f>RTD("cqg.rtd", ,"ContractData",V2, "Settlement",,"T")</f>
        <v>-3.6749999999999998</v>
      </c>
      <c r="AL2" s="7">
        <f>IF(AJ2="",NA(),AJ2)</f>
        <v>126.45</v>
      </c>
    </row>
    <row r="3" spans="1:38" x14ac:dyDescent="0.2">
      <c r="A3" s="6" t="str">
        <f t="shared" ref="A3:A10" si="4">Q3</f>
        <v>GLEJ3</v>
      </c>
      <c r="B3" s="6" t="str">
        <f>RTD("cqg.rtd", ,"ContractData",A3, "ContractMonth")</f>
        <v>APR</v>
      </c>
      <c r="C3" s="12" t="str">
        <f t="shared" ref="C3:C10" si="5">IF(B3="Jan","F",IF(B3="Feb","G",IF(B3="Mar","H",IF(B3="Apr","J",IF(B3="May","K",IF(B3="JUN","M",IF(B3="Jul","N",IF(B3="Aug","Q",IF(B3="Sep","U",IF(B3="Oct","V",IF(B3="Nov","X",IF(B3="Dec","Z"))))))))))))</f>
        <v>J</v>
      </c>
      <c r="D3" s="7" t="str">
        <f t="shared" ref="D3:D10" si="6">$Q$1&amp;$C$1&amp;$D$1&amp;$C3</f>
        <v>F.GLES1J</v>
      </c>
      <c r="P3" s="8" t="str">
        <f t="shared" si="1"/>
        <v>J</v>
      </c>
      <c r="Q3" s="13" t="str">
        <f>RTD("cqg.rtd", ,"ContractData", $Q$1&amp;"?"&amp;R36, "Symbol")</f>
        <v>GLEJ3</v>
      </c>
      <c r="R3" s="11">
        <f>RTD("cqg.rtd", ,"ContractData", Q3, $R$1,,"T")</f>
        <v>130.30000000000001</v>
      </c>
      <c r="S3" s="11">
        <f>RTD("cqg.rtd", ,"ContractData", Q3,$S$1,,"T")</f>
        <v>130.27500000000001</v>
      </c>
      <c r="T3" s="11">
        <f>RTD("cqg.rtd", ,"ContractData", Q3,$T$1,,"T")</f>
        <v>130.30000000000001</v>
      </c>
      <c r="U3" s="11">
        <f>RTD("cqg.rtd", ,"ContractData",Q3, $U$1,,"T")</f>
        <v>0.17499999999999999</v>
      </c>
      <c r="V3" s="8" t="str">
        <f>E2</f>
        <v>F.GLES2G</v>
      </c>
      <c r="W3" s="11">
        <f>RTD("cqg.rtd", ,"ContractData", V3, $W$1,,"T")</f>
        <v>1.1499999999999999</v>
      </c>
      <c r="X3" s="11">
        <f>RTD("cqg.rtd", ,"ContractData", V3, $X$1,,"T")</f>
        <v>0.32500000000000001</v>
      </c>
      <c r="Y3" s="11">
        <f>RTD("cqg.rtd", ,"ContractData",V3,$Y$1,,"T")</f>
        <v>1.1000000000000001</v>
      </c>
      <c r="Z3" s="11">
        <f>RTD("cqg.rtd", ,"ContractData", V3,$Z$1,,"T")</f>
        <v>1.1499999999999999</v>
      </c>
      <c r="AA3" s="11">
        <f t="shared" ref="AA3:AA10" si="7">IF(OR(W3="",W3&lt;Y3,W3&gt;Z3),(Y3+Z3)/2,W3)</f>
        <v>1.1499999999999999</v>
      </c>
      <c r="AB3" s="11">
        <f t="shared" si="2"/>
        <v>130.30000000000001</v>
      </c>
      <c r="AC3" s="11">
        <f>IF(OR(R3="",R3&lt;S3,R3&gt;T3),(S3+T3)/2,R3)</f>
        <v>130.30000000000001</v>
      </c>
      <c r="AD3" s="11">
        <f>IF(OR(Y3="",Z3=""),W3,(IF(OR(W3="",W3&lt;Y3,W3&gt;Z3),(Y3+Z3)/2,W3)))</f>
        <v>1.1499999999999999</v>
      </c>
      <c r="AF3" s="7">
        <f t="shared" ref="AF3:AF10" si="8">IF(ISERROR(AC3),NA(),AC3)</f>
        <v>130.30000000000001</v>
      </c>
      <c r="AG3" s="7">
        <f t="shared" si="3"/>
        <v>1.1499999999999999</v>
      </c>
      <c r="AH3" s="7" t="str">
        <f t="shared" ref="AH3:AH10" si="9">IF(P3="F","JAN",IF(P3="G","FEB",IF(P3="H","MAR",IF(P3="J","APR",IF(P3="K","MAY",IF(P3="M","JUN",IF(P3="N","JUL",IF(P3="Q","AUG",IF(P3="U","SEP",IF(P3="V","OCT",IF(P3="X","NOV",IF(P3="Z","DEC",))))))))))))</f>
        <v>APR</v>
      </c>
      <c r="AI3" s="7" t="str">
        <f>RIGHT(RTD("cqg.rtd", ,"ContractData",V3, "LongDescription"),6)</f>
        <v>y 2013</v>
      </c>
      <c r="AJ3" s="7">
        <f>RTD("cqg.rtd", ,"ContractData",Q3, "Settlement",,"T")</f>
        <v>130.125</v>
      </c>
      <c r="AK3" s="7">
        <f>RTD("cqg.rtd", ,"ContractData",V3, "Settlement",,"T")</f>
        <v>0.75</v>
      </c>
      <c r="AL3" s="7">
        <f t="shared" ref="AL3:AL10" si="10">IF(AJ3="",NA(),AJ3)</f>
        <v>130.125</v>
      </c>
    </row>
    <row r="4" spans="1:38" x14ac:dyDescent="0.2">
      <c r="A4" s="6" t="str">
        <f t="shared" si="4"/>
        <v>GLEM3</v>
      </c>
      <c r="B4" s="6" t="str">
        <f>RTD("cqg.rtd", ,"ContractData",A4, "ContractMonth")</f>
        <v>JUN</v>
      </c>
      <c r="C4" s="12" t="str">
        <f t="shared" si="5"/>
        <v>M</v>
      </c>
      <c r="D4" s="7" t="str">
        <f t="shared" si="6"/>
        <v>F.GLES1M</v>
      </c>
      <c r="P4" s="8" t="str">
        <f t="shared" si="1"/>
        <v>M</v>
      </c>
      <c r="Q4" s="13" t="str">
        <f>RTD("cqg.rtd", ,"ContractData", $Q$1&amp;"?"&amp;R37, "Symbol")</f>
        <v>GLEM3</v>
      </c>
      <c r="R4" s="11">
        <f>RTD("cqg.rtd", ,"ContractData", Q4, $R$1,,"T")</f>
        <v>125.825</v>
      </c>
      <c r="S4" s="11">
        <f>RTD("cqg.rtd", ,"ContractData", Q4,$S$1,,"T")</f>
        <v>125.8</v>
      </c>
      <c r="T4" s="11">
        <f>RTD("cqg.rtd", ,"ContractData", Q4,$T$1,,"T")</f>
        <v>125.825</v>
      </c>
      <c r="U4" s="11">
        <f>RTD("cqg.rtd", ,"ContractData",Q4, $U$1,,"T")</f>
        <v>0.125</v>
      </c>
      <c r="V4" s="8" t="str">
        <f>F2</f>
        <v>F.GLES3G</v>
      </c>
      <c r="W4" s="11">
        <f>RTD("cqg.rtd", ,"ContractData", V4, $W$1,,"T")</f>
        <v>0.4</v>
      </c>
      <c r="X4" s="11">
        <f>RTD("cqg.rtd", ,"ContractData", V4, $X$1,,"T")</f>
        <v>0.47499999999999998</v>
      </c>
      <c r="Y4" s="11">
        <f>RTD("cqg.rtd", ,"ContractData",V4,$Y$1,,"T")</f>
        <v>0.45</v>
      </c>
      <c r="Z4" s="11">
        <f>RTD("cqg.rtd", ,"ContractData", V4,$Z$1,,"T")</f>
        <v>0.52500000000000002</v>
      </c>
      <c r="AA4" s="11">
        <f t="shared" si="7"/>
        <v>0.48750000000000004</v>
      </c>
      <c r="AB4" s="11">
        <f t="shared" si="2"/>
        <v>125.825</v>
      </c>
      <c r="AC4" s="11">
        <f t="shared" ref="AC4:AC10" si="11">IF(OR(R4="",R4&lt;S4,R4&gt;T4),(S4+T4)/2,R4)</f>
        <v>125.825</v>
      </c>
      <c r="AD4" s="11">
        <f t="shared" ref="AD4:AD10" si="12">IF(OR(Y4="",Z4=""),W4,(IF(OR(W4="",W4&lt;Y4,W4&gt;Z4),(Y4+Z4)/2,W4)))</f>
        <v>0.48750000000000004</v>
      </c>
      <c r="AF4" s="7">
        <f t="shared" si="8"/>
        <v>125.825</v>
      </c>
      <c r="AG4" s="7">
        <f t="shared" si="3"/>
        <v>0.48750000000000004</v>
      </c>
      <c r="AH4" s="7" t="str">
        <f t="shared" si="9"/>
        <v>JUN</v>
      </c>
      <c r="AI4" s="7" t="str">
        <f>RIGHT(RTD("cqg.rtd", ,"ContractData",V4, "LongDescription"),6)</f>
        <v>y 2013</v>
      </c>
      <c r="AJ4" s="7">
        <f>RTD("cqg.rtd", ,"ContractData",Q4, "Settlement",,"T")</f>
        <v>125.7</v>
      </c>
      <c r="AK4" s="7">
        <f>RTD("cqg.rtd", ,"ContractData",V4, "Settlement",,"T")</f>
        <v>-2.5000000000000001E-2</v>
      </c>
      <c r="AL4" s="7">
        <f t="shared" si="10"/>
        <v>125.7</v>
      </c>
    </row>
    <row r="5" spans="1:38" x14ac:dyDescent="0.2">
      <c r="A5" s="6" t="str">
        <f t="shared" si="4"/>
        <v>GLEQ3</v>
      </c>
      <c r="B5" s="6" t="str">
        <f>RTD("cqg.rtd", ,"ContractData",A5, "ContractMonth")</f>
        <v>AUG</v>
      </c>
      <c r="C5" s="12" t="str">
        <f t="shared" si="5"/>
        <v>Q</v>
      </c>
      <c r="D5" s="7" t="str">
        <f t="shared" si="6"/>
        <v>F.GLES1Q</v>
      </c>
      <c r="P5" s="8" t="str">
        <f t="shared" si="1"/>
        <v>Q</v>
      </c>
      <c r="Q5" s="13" t="str">
        <f>RTD("cqg.rtd", ,"ContractData", $Q$1&amp;"?"&amp;R38, "Symbol")</f>
        <v>GLEQ3</v>
      </c>
      <c r="R5" s="11">
        <f>RTD("cqg.rtd", ,"ContractData", Q5, $R$1,,"T")</f>
        <v>126.45</v>
      </c>
      <c r="S5" s="11">
        <f>RTD("cqg.rtd", ,"ContractData", Q5,$S$1,,"T")</f>
        <v>126.425</v>
      </c>
      <c r="T5" s="11">
        <f>RTD("cqg.rtd", ,"ContractData", Q5,$T$1,,"T")</f>
        <v>126.47499999999999</v>
      </c>
      <c r="U5" s="11">
        <f>RTD("cqg.rtd", ,"ContractData",Q5, $U$1,,"T")</f>
        <v>-0.05</v>
      </c>
      <c r="V5" s="8" t="str">
        <f>G2</f>
        <v>F.GLES4G</v>
      </c>
      <c r="W5" s="11" t="str">
        <f>RTD("cqg.rtd", ,"ContractData", V5, $W$1,,"T")</f>
        <v/>
      </c>
      <c r="X5" s="11">
        <f>RTD("cqg.rtd", ,"ContractData", V5, $X$1,,"T")</f>
        <v>0.32500000000000001</v>
      </c>
      <c r="Y5" s="11">
        <f>RTD("cqg.rtd", ,"ContractData",V5,$Y$1,,"T")</f>
        <v>-3.5</v>
      </c>
      <c r="Z5" s="11">
        <f>RTD("cqg.rtd", ,"ContractData", V5,$Z$1,,"T")</f>
        <v>-3.4249999999999998</v>
      </c>
      <c r="AA5" s="11">
        <f t="shared" si="7"/>
        <v>-3.4624999999999999</v>
      </c>
      <c r="AB5" s="11">
        <f t="shared" si="2"/>
        <v>126.45</v>
      </c>
      <c r="AC5" s="11">
        <f t="shared" si="11"/>
        <v>126.45</v>
      </c>
      <c r="AD5" s="11">
        <f t="shared" si="12"/>
        <v>-3.4624999999999999</v>
      </c>
      <c r="AF5" s="7">
        <f t="shared" si="8"/>
        <v>126.45</v>
      </c>
      <c r="AG5" s="7">
        <f t="shared" si="3"/>
        <v>-3.4624999999999999</v>
      </c>
      <c r="AH5" s="7" t="str">
        <f t="shared" si="9"/>
        <v>AUG</v>
      </c>
      <c r="AI5" s="7" t="str">
        <f>RIGHT(RTD("cqg.rtd", ,"ContractData",V5, "LongDescription"),6)</f>
        <v>y 2013</v>
      </c>
      <c r="AJ5" s="7">
        <f>RTD("cqg.rtd", ,"ContractData",Q5, "Settlement",,"T")</f>
        <v>126.47499999999999</v>
      </c>
      <c r="AK5" s="7">
        <f>RTD("cqg.rtd", ,"ContractData",V5, "Settlement",,"T")</f>
        <v>-3.85</v>
      </c>
      <c r="AL5" s="7">
        <f t="shared" si="10"/>
        <v>126.47499999999999</v>
      </c>
    </row>
    <row r="6" spans="1:38" x14ac:dyDescent="0.2">
      <c r="A6" s="6" t="str">
        <f t="shared" si="4"/>
        <v>GLEV3</v>
      </c>
      <c r="B6" s="6" t="str">
        <f>RTD("cqg.rtd", ,"ContractData",A6, "ContractMonth")</f>
        <v>OCT</v>
      </c>
      <c r="C6" s="12" t="str">
        <f t="shared" si="5"/>
        <v>V</v>
      </c>
      <c r="D6" s="7" t="str">
        <f t="shared" si="6"/>
        <v>F.GLES1V</v>
      </c>
      <c r="P6" s="8" t="str">
        <f t="shared" si="1"/>
        <v>V</v>
      </c>
      <c r="Q6" s="13" t="str">
        <f>RTD("cqg.rtd", ,"ContractData", $Q$1&amp;"?"&amp;R39, "Symbol")</f>
        <v>GLEV3</v>
      </c>
      <c r="R6" s="11">
        <f>RTD("cqg.rtd", ,"ContractData", Q6, $R$1,,"T")</f>
        <v>130.4</v>
      </c>
      <c r="S6" s="11">
        <f>RTD("cqg.rtd", ,"ContractData", Q6,$S$1,,"T")</f>
        <v>130.375</v>
      </c>
      <c r="T6" s="11">
        <f>RTD("cqg.rtd", ,"ContractData", Q6,$T$1,,"T")</f>
        <v>130.42500000000001</v>
      </c>
      <c r="U6" s="11">
        <f>RTD("cqg.rtd", ,"ContractData",Q6, $U$1,,"T")</f>
        <v>0.1</v>
      </c>
      <c r="V6" s="8" t="str">
        <f>H2</f>
        <v>F.GLES5G</v>
      </c>
      <c r="W6" s="11" t="str">
        <f>RTD("cqg.rtd", ,"ContractData", V6, $W$1,,"T")</f>
        <v/>
      </c>
      <c r="X6" s="11">
        <f>RTD("cqg.rtd", ,"ContractData", V6, $X$1,,"T")</f>
        <v>0.15</v>
      </c>
      <c r="Y6" s="11">
        <f>RTD("cqg.rtd", ,"ContractData",V6,$Y$1,,"T")</f>
        <v>-5.2750000000000004</v>
      </c>
      <c r="Z6" s="11">
        <f>RTD("cqg.rtd", ,"ContractData", V6,$Z$1,,"T")</f>
        <v>-5.2</v>
      </c>
      <c r="AA6" s="11">
        <f t="shared" si="7"/>
        <v>-5.2375000000000007</v>
      </c>
      <c r="AB6" s="11">
        <f t="shared" si="2"/>
        <v>130.4</v>
      </c>
      <c r="AC6" s="11">
        <f t="shared" si="11"/>
        <v>130.4</v>
      </c>
      <c r="AD6" s="11">
        <f t="shared" si="12"/>
        <v>-5.2375000000000007</v>
      </c>
      <c r="AF6" s="7">
        <f t="shared" si="8"/>
        <v>130.4</v>
      </c>
      <c r="AG6" s="7">
        <f t="shared" si="3"/>
        <v>-5.2375000000000007</v>
      </c>
      <c r="AH6" s="7" t="str">
        <f t="shared" si="9"/>
        <v>OCT</v>
      </c>
      <c r="AI6" s="7" t="str">
        <f>RIGHT(RTD("cqg.rtd", ,"ContractData",V6, "LongDescription"),6)</f>
        <v>y 2013</v>
      </c>
      <c r="AJ6" s="7">
        <f>RTD("cqg.rtd", ,"ContractData",Q6, "Settlement",,"T")</f>
        <v>130.30000000000001</v>
      </c>
      <c r="AK6" s="7">
        <f>RTD("cqg.rtd", ,"ContractData",V6, "Settlement",,"T")</f>
        <v>-5.4249999999999998</v>
      </c>
      <c r="AL6" s="7">
        <f t="shared" si="10"/>
        <v>130.30000000000001</v>
      </c>
    </row>
    <row r="7" spans="1:38" x14ac:dyDescent="0.2">
      <c r="A7" s="6" t="str">
        <f t="shared" si="4"/>
        <v>GLEZ3</v>
      </c>
      <c r="B7" s="6" t="str">
        <f>RTD("cqg.rtd", ,"ContractData",A7, "ContractMonth")</f>
        <v>DEC</v>
      </c>
      <c r="C7" s="12" t="str">
        <f t="shared" si="5"/>
        <v>Z</v>
      </c>
      <c r="D7" s="7" t="str">
        <f t="shared" si="6"/>
        <v>F.GLES1Z</v>
      </c>
      <c r="P7" s="8" t="str">
        <f t="shared" si="1"/>
        <v>Z</v>
      </c>
      <c r="Q7" s="13" t="str">
        <f>RTD("cqg.rtd", ,"ContractData", $Q$1&amp;"?"&amp;R40, "Symbol")</f>
        <v>GLEZ3</v>
      </c>
      <c r="R7" s="11">
        <f>RTD("cqg.rtd", ,"ContractData", Q7, $R$1,,"T")</f>
        <v>132.17500000000001</v>
      </c>
      <c r="S7" s="11">
        <f>RTD("cqg.rtd", ,"ContractData", Q7,$S$1,,"T")</f>
        <v>132.15</v>
      </c>
      <c r="T7" s="11">
        <f>RTD("cqg.rtd", ,"ContractData", Q7,$T$1,,"T")</f>
        <v>132.17500000000001</v>
      </c>
      <c r="U7" s="11">
        <f>RTD("cqg.rtd", ,"ContractData",Q7, $U$1,,"T")</f>
        <v>0.3</v>
      </c>
      <c r="V7" s="8" t="str">
        <f>I2</f>
        <v>F.GLES6G</v>
      </c>
      <c r="W7" s="11">
        <f>RTD("cqg.rtd", ,"ContractData", V7, $W$1,,"T")</f>
        <v>-6.1749999999999998</v>
      </c>
      <c r="X7" s="11">
        <f>RTD("cqg.rtd", ,"ContractData", V7, $X$1,,"T")</f>
        <v>0.22500000000000001</v>
      </c>
      <c r="Y7" s="11">
        <f>RTD("cqg.rtd", ,"ContractData",V7,$Y$1,,"T")</f>
        <v>-6.375</v>
      </c>
      <c r="Z7" s="11">
        <f>RTD("cqg.rtd", ,"ContractData", V7,$Z$1,,"T")</f>
        <v>-5.875</v>
      </c>
      <c r="AA7" s="11">
        <f t="shared" si="7"/>
        <v>-6.1749999999999998</v>
      </c>
      <c r="AB7" s="11">
        <f t="shared" si="2"/>
        <v>132.17500000000001</v>
      </c>
      <c r="AC7" s="11">
        <f t="shared" si="11"/>
        <v>132.17500000000001</v>
      </c>
      <c r="AD7" s="11">
        <f t="shared" si="12"/>
        <v>-6.1749999999999998</v>
      </c>
      <c r="AF7" s="7">
        <f t="shared" si="8"/>
        <v>132.17500000000001</v>
      </c>
      <c r="AG7" s="7">
        <f t="shared" si="3"/>
        <v>-6.1749999999999998</v>
      </c>
      <c r="AH7" s="7" t="str">
        <f t="shared" si="9"/>
        <v>DEC</v>
      </c>
      <c r="AI7" s="7" t="str">
        <f>RIGHT(RTD("cqg.rtd", ,"ContractData",V7, "LongDescription"),6)</f>
        <v>y 2013</v>
      </c>
      <c r="AJ7" s="7">
        <f>RTD("cqg.rtd", ,"ContractData",Q7, "Settlement",,"T")</f>
        <v>131.875</v>
      </c>
      <c r="AK7" s="7">
        <f>RTD("cqg.rtd", ,"ContractData",V7, "Settlement",,"T")</f>
        <v>-6.6</v>
      </c>
      <c r="AL7" s="7">
        <f t="shared" si="10"/>
        <v>131.875</v>
      </c>
    </row>
    <row r="8" spans="1:38" x14ac:dyDescent="0.2">
      <c r="A8" s="6" t="str">
        <f t="shared" si="4"/>
        <v>GLEG4</v>
      </c>
      <c r="B8" s="6" t="str">
        <f>RTD("cqg.rtd", ,"ContractData",A8, "ContractMonth")</f>
        <v>FEB</v>
      </c>
      <c r="C8" s="12" t="str">
        <f t="shared" si="5"/>
        <v>G</v>
      </c>
      <c r="D8" s="7" t="str">
        <f t="shared" si="6"/>
        <v>F.GLES1G</v>
      </c>
      <c r="P8" s="8" t="str">
        <f t="shared" si="1"/>
        <v>G</v>
      </c>
      <c r="Q8" s="13" t="str">
        <f>RTD("cqg.rtd", ,"ContractData", $Q$1&amp;"?"&amp;R41, "Symbol")</f>
        <v>GLEG4</v>
      </c>
      <c r="R8" s="11">
        <f>RTD("cqg.rtd", ,"ContractData", Q8, $R$1,,"T")</f>
        <v>133</v>
      </c>
      <c r="S8" s="11">
        <f>RTD("cqg.rtd", ,"ContractData", Q8,$S$1,,"T")</f>
        <v>133</v>
      </c>
      <c r="T8" s="11">
        <f>RTD("cqg.rtd", ,"ContractData", Q8,$T$1,,"T")</f>
        <v>133.07499999999999</v>
      </c>
      <c r="U8" s="11">
        <f>RTD("cqg.rtd", ,"ContractData",Q8, $U$1,,"T")</f>
        <v>-7.4999999999999997E-2</v>
      </c>
      <c r="V8" s="8" t="str">
        <f>J2</f>
        <v>F.GLES7G</v>
      </c>
      <c r="W8" s="11" t="str">
        <f>RTD("cqg.rtd", ,"ContractData", V8, $W$1,,"T")</f>
        <v>295: F.GLES7G could not be resolved.</v>
      </c>
      <c r="X8" s="11" t="str">
        <f>RTD("cqg.rtd", ,"ContractData", V8, $X$1,,"T")</f>
        <v>295: F.GLES7G could not be resolved.</v>
      </c>
      <c r="Y8" s="11" t="str">
        <f>RTD("cqg.rtd", ,"ContractData",V8,$Y$1,,"T")</f>
        <v>295: F.GLES7G could not be resolved.</v>
      </c>
      <c r="Z8" s="11" t="str">
        <f>RTD("cqg.rtd", ,"ContractData", V8,$Z$1,,"T")</f>
        <v>295: F.GLES7G could not be resolved.</v>
      </c>
      <c r="AA8" s="11" t="str">
        <f t="shared" si="7"/>
        <v>295: F.GLES7G could not be resolved.</v>
      </c>
      <c r="AB8" s="11">
        <f t="shared" ref="AB8:AB10" si="13">IF(OR(S8="",T8=""),R8,(IF(OR(R8="",R8&lt;S8,R8&gt;T8),(S8+T8)/2,R8)))</f>
        <v>133</v>
      </c>
      <c r="AC8" s="11">
        <f t="shared" si="11"/>
        <v>133</v>
      </c>
      <c r="AD8" s="11" t="str">
        <f t="shared" si="12"/>
        <v>295: F.GLES7G could not be resolved.</v>
      </c>
      <c r="AF8" s="7">
        <f t="shared" si="8"/>
        <v>133</v>
      </c>
      <c r="AG8" s="7" t="str">
        <f t="shared" si="3"/>
        <v>295: F.GLES7G could not be resolved.</v>
      </c>
      <c r="AH8" s="7" t="str">
        <f t="shared" si="9"/>
        <v>FEB</v>
      </c>
      <c r="AI8" s="7" t="str">
        <f>RIGHT(RTD("cqg.rtd", ,"ContractData",V8, "LongDescription"),6)</f>
        <v>olved.</v>
      </c>
      <c r="AJ8" s="7">
        <f>RTD("cqg.rtd", ,"ContractData",Q8, "Settlement",,"T")</f>
        <v>133.05000000000001</v>
      </c>
      <c r="AK8" s="7" t="str">
        <f>RTD("cqg.rtd", ,"ContractData",V8, "Settlement",,"T")</f>
        <v>295: F.GLES7G could not be resolved.</v>
      </c>
      <c r="AL8" s="7">
        <f t="shared" si="10"/>
        <v>133.05000000000001</v>
      </c>
    </row>
    <row r="9" spans="1:38" x14ac:dyDescent="0.2">
      <c r="A9" s="6" t="str">
        <f t="shared" si="4"/>
        <v>GLEJ4</v>
      </c>
      <c r="B9" s="6" t="str">
        <f>RTD("cqg.rtd", ,"ContractData",A9, "ContractMonth")</f>
        <v>APR</v>
      </c>
      <c r="C9" s="12" t="str">
        <f t="shared" si="5"/>
        <v>J</v>
      </c>
      <c r="D9" s="7" t="str">
        <f t="shared" si="6"/>
        <v>F.GLES1J</v>
      </c>
      <c r="P9" s="8" t="str">
        <f t="shared" si="1"/>
        <v>J</v>
      </c>
      <c r="Q9" s="13" t="str">
        <f>RTD("cqg.rtd", ,"ContractData", $Q$1&amp;"?"&amp;R42, "Symbol")</f>
        <v>GLEJ4</v>
      </c>
      <c r="R9" s="11">
        <f>RTD("cqg.rtd", ,"ContractData", Q9, $R$1,,"T")</f>
        <v>134.25</v>
      </c>
      <c r="S9" s="11">
        <f>RTD("cqg.rtd", ,"ContractData", Q9,$S$1,,"T")</f>
        <v>134.25</v>
      </c>
      <c r="T9" s="11">
        <f>RTD("cqg.rtd", ,"ContractData", Q9,$T$1,,"T")</f>
        <v>134.5</v>
      </c>
      <c r="U9" s="11">
        <f>RTD("cqg.rtd", ,"ContractData",Q9, $U$1,,"T")</f>
        <v>-0.25</v>
      </c>
      <c r="V9" s="8" t="str">
        <f>K2</f>
        <v>F.GLES8G</v>
      </c>
      <c r="W9" s="11" t="str">
        <f>RTD("cqg.rtd", ,"ContractData", V9, $W$1,,"T")</f>
        <v>295: F.GLES8G could not be resolved.</v>
      </c>
      <c r="X9" s="11" t="str">
        <f>RTD("cqg.rtd", ,"ContractData", V9, $X$1,,"T")</f>
        <v>295: F.GLES8G could not be resolved.</v>
      </c>
      <c r="Y9" s="11" t="str">
        <f>RTD("cqg.rtd", ,"ContractData",V9,$Y$1,,"T")</f>
        <v>295: F.GLES8G could not be resolved.</v>
      </c>
      <c r="Z9" s="11" t="str">
        <f>RTD("cqg.rtd", ,"ContractData", V9,$Z$1,,"T")</f>
        <v>295: F.GLES8G could not be resolved.</v>
      </c>
      <c r="AA9" s="11" t="str">
        <f t="shared" si="7"/>
        <v>295: F.GLES8G could not be resolved.</v>
      </c>
      <c r="AB9" s="11">
        <f t="shared" si="13"/>
        <v>134.25</v>
      </c>
      <c r="AC9" s="11">
        <f t="shared" si="11"/>
        <v>134.25</v>
      </c>
      <c r="AD9" s="11" t="str">
        <f t="shared" si="12"/>
        <v>295: F.GLES8G could not be resolved.</v>
      </c>
      <c r="AF9" s="7">
        <f t="shared" si="8"/>
        <v>134.25</v>
      </c>
      <c r="AG9" s="7" t="str">
        <f t="shared" si="3"/>
        <v>295: F.GLES8G could not be resolved.</v>
      </c>
      <c r="AH9" s="7" t="str">
        <f t="shared" si="9"/>
        <v>APR</v>
      </c>
      <c r="AI9" s="7" t="str">
        <f>RIGHT(RTD("cqg.rtd", ,"ContractData",V9, "LongDescription"),6)</f>
        <v>olved.</v>
      </c>
      <c r="AJ9" s="7">
        <f>RTD("cqg.rtd", ,"ContractData",Q9, "Settlement",,"T")</f>
        <v>134.75</v>
      </c>
      <c r="AK9" s="7" t="str">
        <f>RTD("cqg.rtd", ,"ContractData",V9, "Settlement",,"T")</f>
        <v>295: F.GLES8G could not be resolved.</v>
      </c>
      <c r="AL9" s="7">
        <f t="shared" si="10"/>
        <v>134.75</v>
      </c>
    </row>
    <row r="10" spans="1:38" x14ac:dyDescent="0.2">
      <c r="A10" s="6" t="str">
        <f t="shared" si="4"/>
        <v>GLEM4</v>
      </c>
      <c r="B10" s="6" t="str">
        <f>RTD("cqg.rtd", ,"ContractData",A10, "ContractMonth")</f>
        <v>JUN</v>
      </c>
      <c r="C10" s="12" t="str">
        <f t="shared" si="5"/>
        <v>M</v>
      </c>
      <c r="D10" s="7" t="str">
        <f t="shared" si="6"/>
        <v>F.GLES1M</v>
      </c>
      <c r="P10" s="8" t="str">
        <f t="shared" si="1"/>
        <v>M</v>
      </c>
      <c r="Q10" s="13" t="str">
        <f>RTD("cqg.rtd", ,"ContractData", $Q$1&amp;"?"&amp;R43, "Symbol")</f>
        <v>GLEM4</v>
      </c>
      <c r="R10" s="11" t="str">
        <f>RTD("cqg.rtd", ,"ContractData", Q10, $R$1,,"T")</f>
        <v/>
      </c>
      <c r="S10" s="11">
        <f>RTD("cqg.rtd", ,"ContractData", Q10,$S$1,,"T")</f>
        <v>130.30000000000001</v>
      </c>
      <c r="T10" s="11">
        <f>RTD("cqg.rtd", ,"ContractData", Q10,$T$1,,"T")</f>
        <v>131.97499999999999</v>
      </c>
      <c r="U10" s="11">
        <f>RTD("cqg.rtd", ,"ContractData",Q10, $U$1,,"T")</f>
        <v>-1.5</v>
      </c>
      <c r="V10" s="8" t="str">
        <f>L2</f>
        <v>F.GLES9G</v>
      </c>
      <c r="W10" s="11" t="str">
        <f>RTD("cqg.rtd", ,"ContractData", V10, $W$1,,"T")</f>
        <v>295: F.GLES9G could not be resolved.</v>
      </c>
      <c r="X10" s="11" t="str">
        <f>RTD("cqg.rtd", ,"ContractData", V10, $X$1,,"T")</f>
        <v>295: F.GLES9G could not be resolved.</v>
      </c>
      <c r="Y10" s="11" t="str">
        <f>RTD("cqg.rtd", ,"ContractData",V10,$Y$1,,"T")</f>
        <v>295: F.GLES9G could not be resolved.</v>
      </c>
      <c r="Z10" s="11" t="str">
        <f>RTD("cqg.rtd", ,"ContractData", V10,$Z$1,,"T")</f>
        <v>295: F.GLES9G could not be resolved.</v>
      </c>
      <c r="AA10" s="11" t="str">
        <f t="shared" si="7"/>
        <v>295: F.GLES9G could not be resolved.</v>
      </c>
      <c r="AB10" s="11">
        <f t="shared" si="13"/>
        <v>131.13749999999999</v>
      </c>
      <c r="AC10" s="11">
        <f t="shared" si="11"/>
        <v>131.13749999999999</v>
      </c>
      <c r="AD10" s="11" t="str">
        <f t="shared" si="12"/>
        <v>295: F.GLES9G could not be resolved.</v>
      </c>
      <c r="AF10" s="7">
        <f t="shared" si="8"/>
        <v>131.13749999999999</v>
      </c>
      <c r="AG10" s="7" t="str">
        <f t="shared" si="3"/>
        <v>295: F.GLES9G could not be resolved.</v>
      </c>
      <c r="AH10" s="7" t="str">
        <f t="shared" si="9"/>
        <v>JUN</v>
      </c>
      <c r="AI10" s="7" t="str">
        <f>RIGHT(RTD("cqg.rtd", ,"ContractData",V10, "LongDescription"),6)</f>
        <v>olved.</v>
      </c>
      <c r="AJ10" s="7">
        <f>RTD("cqg.rtd", ,"ContractData",Q10, "Settlement",,"T")</f>
        <v>131.77500000000001</v>
      </c>
      <c r="AK10" s="7" t="str">
        <f>RTD("cqg.rtd", ,"ContractData",V10, "Settlement",,"T")</f>
        <v>295: F.GLES9G could not be resolved.</v>
      </c>
      <c r="AL10" s="7">
        <f t="shared" si="10"/>
        <v>131.77500000000001</v>
      </c>
    </row>
    <row r="11" spans="1:38" x14ac:dyDescent="0.2">
      <c r="A11" s="6"/>
      <c r="B11" s="6"/>
      <c r="C11" s="12"/>
      <c r="P11" s="8"/>
      <c r="Q11" s="13"/>
      <c r="R11" s="11"/>
      <c r="S11" s="11"/>
      <c r="T11" s="11"/>
      <c r="U11" s="11"/>
      <c r="V11" s="8"/>
      <c r="W11" s="11"/>
      <c r="X11" s="11"/>
      <c r="Y11" s="11"/>
      <c r="Z11" s="11"/>
      <c r="AA11" s="11"/>
      <c r="AB11" s="11"/>
      <c r="AC11" s="11"/>
      <c r="AD11" s="11"/>
    </row>
    <row r="12" spans="1:38" x14ac:dyDescent="0.2">
      <c r="A12" s="6"/>
      <c r="B12" s="6"/>
      <c r="C12" s="12"/>
      <c r="P12" s="8"/>
      <c r="Q12" s="13"/>
      <c r="R12" s="11"/>
      <c r="S12" s="11"/>
      <c r="T12" s="11"/>
      <c r="U12" s="11"/>
      <c r="V12" s="8"/>
      <c r="W12" s="11"/>
      <c r="X12" s="11"/>
      <c r="Y12" s="11"/>
      <c r="Z12" s="11"/>
      <c r="AA12" s="11"/>
      <c r="AB12" s="11"/>
      <c r="AC12" s="11"/>
      <c r="AD12" s="11"/>
    </row>
    <row r="13" spans="1:38" x14ac:dyDescent="0.2">
      <c r="A13" s="6"/>
      <c r="B13" s="6"/>
      <c r="C13" s="12"/>
      <c r="P13" s="8"/>
      <c r="Q13" s="13"/>
      <c r="R13" s="11"/>
      <c r="S13" s="11"/>
      <c r="T13" s="11"/>
      <c r="U13" s="11"/>
      <c r="V13" s="8"/>
      <c r="W13" s="11"/>
      <c r="X13" s="11"/>
      <c r="Y13" s="11"/>
      <c r="Z13" s="11"/>
      <c r="AA13" s="11"/>
      <c r="AB13" s="11"/>
      <c r="AC13" s="11"/>
      <c r="AD13" s="11"/>
    </row>
    <row r="14" spans="1:38" x14ac:dyDescent="0.2"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8" x14ac:dyDescent="0.2">
      <c r="P15" s="8"/>
      <c r="Q15" s="8"/>
      <c r="R15" s="8"/>
      <c r="S15" s="8"/>
      <c r="T15" s="8"/>
      <c r="U15" s="8"/>
    </row>
    <row r="17" spans="21:29" x14ac:dyDescent="0.2">
      <c r="AB17" s="14"/>
      <c r="AC17" s="14"/>
    </row>
    <row r="18" spans="21:29" x14ac:dyDescent="0.2">
      <c r="AB18" s="14"/>
      <c r="AC18" s="14"/>
    </row>
    <row r="19" spans="21:29" x14ac:dyDescent="0.2">
      <c r="AB19" s="14"/>
      <c r="AC19" s="14"/>
    </row>
    <row r="20" spans="21:29" x14ac:dyDescent="0.2">
      <c r="U20" s="15"/>
      <c r="AB20" s="14"/>
      <c r="AC20" s="14"/>
    </row>
    <row r="21" spans="21:29" x14ac:dyDescent="0.2">
      <c r="AB21" s="14"/>
      <c r="AC21" s="14"/>
    </row>
    <row r="22" spans="21:29" x14ac:dyDescent="0.2">
      <c r="AB22" s="14"/>
      <c r="AC22" s="14"/>
    </row>
    <row r="23" spans="21:29" x14ac:dyDescent="0.2">
      <c r="AB23" s="14"/>
      <c r="AC23" s="14"/>
    </row>
    <row r="24" spans="21:29" x14ac:dyDescent="0.2">
      <c r="AB24" s="14"/>
      <c r="AC24" s="14"/>
    </row>
    <row r="34" spans="18:19" x14ac:dyDescent="0.2">
      <c r="R34" s="7" t="s">
        <v>6</v>
      </c>
    </row>
    <row r="35" spans="18:19" x14ac:dyDescent="0.2">
      <c r="R35" s="7">
        <v>1</v>
      </c>
      <c r="S35" s="7" t="str">
        <f>RTD("cqg.rtd",,"ContractData",Q1&amp;"?1", "Symbol")</f>
        <v>GLEG3</v>
      </c>
    </row>
    <row r="36" spans="18:19" x14ac:dyDescent="0.2">
      <c r="R36" s="7">
        <f>R35+1</f>
        <v>2</v>
      </c>
      <c r="S36" s="7" t="str">
        <f>RTD("cqg.rtd",,"ContractData",Q1&amp;"?2", "Symbol")</f>
        <v>GLEJ3</v>
      </c>
    </row>
    <row r="37" spans="18:19" x14ac:dyDescent="0.2">
      <c r="R37" s="7">
        <f t="shared" ref="R37:R46" si="14">R36+1</f>
        <v>3</v>
      </c>
    </row>
    <row r="38" spans="18:19" x14ac:dyDescent="0.2">
      <c r="R38" s="7">
        <f t="shared" si="14"/>
        <v>4</v>
      </c>
    </row>
    <row r="39" spans="18:19" x14ac:dyDescent="0.2">
      <c r="R39" s="7">
        <f t="shared" si="14"/>
        <v>5</v>
      </c>
    </row>
    <row r="40" spans="18:19" x14ac:dyDescent="0.2">
      <c r="R40" s="7">
        <f t="shared" si="14"/>
        <v>6</v>
      </c>
    </row>
    <row r="41" spans="18:19" x14ac:dyDescent="0.2">
      <c r="R41" s="7">
        <f t="shared" si="14"/>
        <v>7</v>
      </c>
    </row>
    <row r="42" spans="18:19" x14ac:dyDescent="0.2">
      <c r="R42" s="7">
        <f t="shared" si="14"/>
        <v>8</v>
      </c>
    </row>
    <row r="43" spans="18:19" x14ac:dyDescent="0.2">
      <c r="R43" s="7">
        <f t="shared" si="14"/>
        <v>9</v>
      </c>
    </row>
    <row r="44" spans="18:19" x14ac:dyDescent="0.2">
      <c r="R44" s="7">
        <f t="shared" si="14"/>
        <v>10</v>
      </c>
    </row>
    <row r="45" spans="18:19" x14ac:dyDescent="0.2">
      <c r="R45" s="7">
        <f t="shared" si="14"/>
        <v>11</v>
      </c>
    </row>
    <row r="46" spans="18:19" x14ac:dyDescent="0.2">
      <c r="R46" s="7">
        <f t="shared" si="14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opLeftCell="N1" workbookViewId="0">
      <selection activeCell="AH2" sqref="AH2"/>
    </sheetView>
  </sheetViews>
  <sheetFormatPr defaultColWidth="9" defaultRowHeight="14.25" x14ac:dyDescent="0.2"/>
  <cols>
    <col min="1" max="17" width="9" style="7"/>
    <col min="18" max="18" width="14.375" style="7" customWidth="1"/>
    <col min="19" max="20" width="9" style="7"/>
    <col min="21" max="21" width="17.75" style="7" customWidth="1"/>
    <col min="22" max="22" width="9" style="7"/>
    <col min="23" max="23" width="57.25" style="7" customWidth="1"/>
    <col min="24" max="16384" width="9" style="7"/>
  </cols>
  <sheetData>
    <row r="1" spans="1:38" x14ac:dyDescent="0.2">
      <c r="A1" s="6"/>
      <c r="B1" s="6"/>
      <c r="C1" s="6" t="s">
        <v>2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  <c r="P1" s="8"/>
      <c r="Q1" s="9" t="str">
        <f>Main!V4</f>
        <v>F.GF</v>
      </c>
      <c r="R1" s="10" t="s">
        <v>3</v>
      </c>
      <c r="S1" s="10" t="s">
        <v>0</v>
      </c>
      <c r="T1" s="10" t="s">
        <v>1</v>
      </c>
      <c r="U1" s="8" t="s">
        <v>4</v>
      </c>
      <c r="V1" s="8"/>
      <c r="W1" s="10" t="s">
        <v>3</v>
      </c>
      <c r="X1" s="8" t="s">
        <v>4</v>
      </c>
      <c r="Y1" s="10" t="s">
        <v>0</v>
      </c>
      <c r="Z1" s="10" t="s">
        <v>1</v>
      </c>
      <c r="AA1" s="8" t="s">
        <v>5</v>
      </c>
      <c r="AB1" s="8" t="s">
        <v>5</v>
      </c>
      <c r="AC1" s="11"/>
      <c r="AD1" s="8" t="s">
        <v>5</v>
      </c>
    </row>
    <row r="2" spans="1:38" x14ac:dyDescent="0.2">
      <c r="A2" s="6" t="str">
        <f>Q2</f>
        <v>GFH3</v>
      </c>
      <c r="B2" s="6" t="str">
        <f>RTD("cqg.rtd", ,"ContractData",A2, "ContractMonth")</f>
        <v>MAR</v>
      </c>
      <c r="C2" s="12" t="str">
        <f>IF(B2="Jan","F",IF(B2="Feb","G",IF(B2="Mar","H",IF(B2="Apr","J",IF(B2="May","K",IF(B2="JUN","M",IF(B2="Jul","N",IF(B2="Aug","Q",IF(B2="Sep","U",IF(B2="Oct","V",IF(B2="Nov","X",IF(B2="Dec","Z"))))))))))))</f>
        <v>H</v>
      </c>
      <c r="D2" s="7" t="str">
        <f>$Q$1&amp;$C$1&amp;$D$1&amp;$C2</f>
        <v>F.GFS1H</v>
      </c>
      <c r="E2" s="7" t="str">
        <f>$Q$1&amp;$C$1&amp;$E$1&amp;$C2</f>
        <v>F.GFS2H</v>
      </c>
      <c r="F2" s="7" t="str">
        <f>$Q$1&amp;$C$1&amp;$F$1&amp;$C2</f>
        <v>F.GFS3H</v>
      </c>
      <c r="G2" s="7" t="str">
        <f>$Q$1&amp;$C$1&amp;$G$1&amp;$C2</f>
        <v>F.GFS4H</v>
      </c>
      <c r="H2" s="7" t="str">
        <f>$Q$1&amp;$C$1&amp;$H$1&amp;$C2</f>
        <v>F.GFS5H</v>
      </c>
      <c r="I2" s="7" t="str">
        <f>$Q$1&amp;$C$1&amp;$I$1&amp;$C2</f>
        <v>F.GFS6H</v>
      </c>
      <c r="J2" s="7" t="str">
        <f>$Q$1&amp;$C$1&amp;$J$1&amp;$C2</f>
        <v>F.GFS7H</v>
      </c>
      <c r="K2" s="7" t="str">
        <f t="shared" ref="K2" si="0">$Q$1&amp;$C$1&amp;$K$1&amp;$C2</f>
        <v>F.GFS8H</v>
      </c>
      <c r="L2" s="7" t="str">
        <f>$Q$1&amp;$C$1&amp;$L$1&amp;$C2</f>
        <v>F.GFS9H</v>
      </c>
      <c r="M2" s="7" t="str">
        <f>$Q$1&amp;$C$1&amp;$M$1&amp;$C2</f>
        <v>F.GFS10H</v>
      </c>
      <c r="N2" s="7" t="str">
        <f>$Q$1&amp;$C$1&amp;$N$1&amp;$C2</f>
        <v>F.GFS11H</v>
      </c>
      <c r="O2" s="7" t="str">
        <f>$Q$1&amp;$C$1&amp;$O$1&amp;$C2</f>
        <v>F.GFS12H</v>
      </c>
      <c r="P2" s="8" t="str">
        <f t="shared" ref="P2:P9" si="1">LEFT(RIGHT(Q2,2),1)</f>
        <v>H</v>
      </c>
      <c r="Q2" s="13" t="str">
        <f>RTD("cqg.rtd", ,"ContractData", $Q$1&amp;"?"&amp;R35, "Symbol")</f>
        <v>GFH3</v>
      </c>
      <c r="R2" s="11">
        <f>RTD("cqg.rtd", ,"ContractData", Q2, $R$1,,"T")</f>
        <v>144.52500000000001</v>
      </c>
      <c r="S2" s="11">
        <f>RTD("cqg.rtd", ,"ContractData", Q2,$S$1,,"T")</f>
        <v>144.52500000000001</v>
      </c>
      <c r="T2" s="11">
        <f>RTD("cqg.rtd", ,"ContractData", Q2,$T$1,,"T")</f>
        <v>144.57499999999999</v>
      </c>
      <c r="U2" s="11">
        <f>RTD("cqg.rtd", ,"ContractData",Q2, $U$1,,"T")</f>
        <v>-0.47499999999999998</v>
      </c>
      <c r="V2" s="8" t="str">
        <f>D2</f>
        <v>F.GFS1H</v>
      </c>
      <c r="W2" s="11">
        <f>RTD("cqg.rtd", ,"ContractData", V2, $W$1,,"T")</f>
        <v>-3.55</v>
      </c>
      <c r="X2" s="11">
        <f>RTD("cqg.rtd", ,"ContractData", V2, $X$1,,"T")</f>
        <v>-0.35</v>
      </c>
      <c r="Y2" s="11">
        <f>RTD("cqg.rtd", ,"ContractData",V2,$Y$1,,"T")</f>
        <v>-3.55</v>
      </c>
      <c r="Z2" s="11">
        <f>RTD("cqg.rtd", ,"ContractData", V2,$Z$1,,"T")</f>
        <v>-3.4750000000000001</v>
      </c>
      <c r="AA2" s="11">
        <f>IF(OR(W2="",W2&lt;Y2,W2&gt;Z2),(Y2+Z2)/2,W2)</f>
        <v>-3.55</v>
      </c>
      <c r="AB2" s="11">
        <f t="shared" ref="AB2:AB7" si="2">IF(OR(S2="",T2=""),R2,(IF(OR(R2="",R2&lt;S2,R2&gt;T2),(S2+T2)/2,R2)))</f>
        <v>144.52500000000001</v>
      </c>
      <c r="AC2" s="11">
        <f>IF(OR(R2="",R2&lt;S2,R2&gt;T2),(S2+T2)/2,R2)</f>
        <v>144.52500000000001</v>
      </c>
      <c r="AD2" s="11">
        <f>IF(OR(Y2="",Z2=""),W2,(IF(OR(W2="",W2&lt;Y2,W2&gt;Z2),(Y2+Z2)/2,W2)))</f>
        <v>-3.55</v>
      </c>
      <c r="AF2" s="7">
        <f>IF(ISERROR(AC2),NA(),AC2)</f>
        <v>144.52500000000001</v>
      </c>
      <c r="AG2" s="7">
        <f>IF(AD2="",NA(),AD2)</f>
        <v>-3.55</v>
      </c>
      <c r="AH2" s="7" t="str">
        <f>IF(P2="F","JAN",IF(P2="G","FEB",IF(P2="H","MAR",IF(P2="J","APR",IF(P2="K","MAY",IF(P2="M","JUN",IF(P2="N","JUL",IF(P2="Q","AUG",IF(P2="U","SEP",IF(P2="V","OCT",IF(P2="X","NOV",IF(P2="Z","DEC",))))))))))))</f>
        <v>MAR</v>
      </c>
      <c r="AI2" s="7" t="str">
        <f>RIGHT(RTD("cqg.rtd", ,"ContractData",V2, "LongDescription"),6)</f>
        <v>h 2013</v>
      </c>
      <c r="AJ2" s="7">
        <f>RTD("cqg.rtd", ,"ContractData",Q2, "Settlement",,"T")</f>
        <v>145</v>
      </c>
      <c r="AK2" s="7">
        <f>RTD("cqg.rtd", ,"ContractData",V2, "Settlement",,"T")</f>
        <v>-3.2</v>
      </c>
      <c r="AL2" s="7">
        <f>IF(AJ2="",NA(),AJ2)</f>
        <v>145</v>
      </c>
    </row>
    <row r="3" spans="1:38" x14ac:dyDescent="0.2">
      <c r="A3" s="6" t="str">
        <f t="shared" ref="A3:A13" si="3">Q3</f>
        <v>GFJ3</v>
      </c>
      <c r="B3" s="6" t="str">
        <f>RTD("cqg.rtd", ,"ContractData",A3, "ContractMonth")</f>
        <v>APR</v>
      </c>
      <c r="C3" s="12" t="str">
        <f t="shared" ref="C3:C13" si="4">IF(B3="Jan","F",IF(B3="Feb","G",IF(B3="Mar","H",IF(B3="Apr","J",IF(B3="May","K",IF(B3="JUN","M",IF(B3="Jul","N",IF(B3="Aug","Q",IF(B3="Sep","U",IF(B3="Oct","V",IF(B3="Nov","X",IF(B3="Dec","Z"))))))))))))</f>
        <v>J</v>
      </c>
      <c r="D3" s="7" t="str">
        <f t="shared" ref="D3:D13" si="5">$Q$1&amp;$C$1&amp;$D$1&amp;$C3</f>
        <v>F.GFS1J</v>
      </c>
      <c r="P3" s="8" t="str">
        <f t="shared" si="1"/>
        <v>J</v>
      </c>
      <c r="Q3" s="13" t="str">
        <f>RTD("cqg.rtd", ,"ContractData", $Q$1&amp;"?"&amp;R36, "Symbol")</f>
        <v>GFJ3</v>
      </c>
      <c r="R3" s="11">
        <f>RTD("cqg.rtd", ,"ContractData", Q3, $R$1,,"T")</f>
        <v>148.02500000000001</v>
      </c>
      <c r="S3" s="11">
        <f>RTD("cqg.rtd", ,"ContractData", Q3,$S$1,,"T")</f>
        <v>148.02500000000001</v>
      </c>
      <c r="T3" s="11">
        <f>RTD("cqg.rtd", ,"ContractData", Q3,$T$1,,"T")</f>
        <v>148.1</v>
      </c>
      <c r="U3" s="11">
        <f>RTD("cqg.rtd", ,"ContractData",Q3, $U$1,,"T")</f>
        <v>-0.17499999999999999</v>
      </c>
      <c r="V3" s="8" t="str">
        <f>E2</f>
        <v>F.GFS2H</v>
      </c>
      <c r="W3" s="11">
        <f>RTD("cqg.rtd", ,"ContractData", V3, $W$1,,"T")</f>
        <v>-6.1749999999999998</v>
      </c>
      <c r="X3" s="11">
        <f>RTD("cqg.rtd", ,"ContractData", V3, $X$1,,"T")</f>
        <v>-0.65</v>
      </c>
      <c r="Y3" s="11">
        <f>RTD("cqg.rtd", ,"ContractData",V3,$Y$1,,"T")</f>
        <v>-6.2750000000000004</v>
      </c>
      <c r="Z3" s="11">
        <f>RTD("cqg.rtd", ,"ContractData", V3,$Z$1,,"T")</f>
        <v>-6.1749999999999998</v>
      </c>
      <c r="AA3" s="11">
        <f t="shared" ref="AA3:AA13" si="6">IF(OR(W3="",W3&lt;Y3,W3&gt;Z3),(Y3+Z3)/2,W3)</f>
        <v>-6.1749999999999998</v>
      </c>
      <c r="AB3" s="11">
        <f t="shared" si="2"/>
        <v>148.02500000000001</v>
      </c>
      <c r="AC3" s="11">
        <f>IF(OR(R3="",R3&lt;S3,R3&gt;T3),(S3+T3)/2,R3)</f>
        <v>148.02500000000001</v>
      </c>
      <c r="AD3" s="11">
        <f t="shared" ref="AD3:AD13" si="7">IF(OR(Y3="",Z3=""),W3,(IF(OR(W3="",W3&lt;Y3,W3&gt;Z3),(Y3+Z3)/2,W3)))</f>
        <v>-6.1749999999999998</v>
      </c>
      <c r="AF3" s="7">
        <f t="shared" ref="AF3:AF13" si="8">IF(ISERROR(AC3),NA(),AC3)</f>
        <v>148.02500000000001</v>
      </c>
      <c r="AG3" s="7">
        <f>IF(AD3="",NA(),AD3)</f>
        <v>-6.1749999999999998</v>
      </c>
      <c r="AH3" s="7" t="str">
        <f t="shared" ref="AH3:AH9" si="9">IF(P3="F","JAN",IF(P3="G","FEB",IF(P3="H","MAR",IF(P3="J","APR",IF(P3="K","MAY",IF(P3="M","JUN",IF(P3="N","JUL",IF(P3="Q","AUG",IF(P3="U","SEP",IF(P3="V","OCT",IF(P3="X","NOV",IF(P3="Z","DEC",))))))))))))</f>
        <v>APR</v>
      </c>
      <c r="AI3" s="7" t="str">
        <f>RIGHT(RTD("cqg.rtd", ,"ContractData",V3, "LongDescription"),6)</f>
        <v>h 2013</v>
      </c>
      <c r="AJ3" s="7">
        <f>RTD("cqg.rtd", ,"ContractData",Q3, "Settlement",,"T")</f>
        <v>148.19999999999999</v>
      </c>
      <c r="AK3" s="7">
        <f>RTD("cqg.rtd", ,"ContractData",V3, "Settlement",,"T")</f>
        <v>-5.5250000000000004</v>
      </c>
      <c r="AL3" s="7">
        <f t="shared" ref="AL3:AL13" si="10">IF(AJ3="",NA(),AJ3)</f>
        <v>148.19999999999999</v>
      </c>
    </row>
    <row r="4" spans="1:38" x14ac:dyDescent="0.2">
      <c r="A4" s="6" t="str">
        <f t="shared" si="3"/>
        <v>GFK3</v>
      </c>
      <c r="B4" s="6" t="str">
        <f>RTD("cqg.rtd", ,"ContractData",A4, "ContractMonth")</f>
        <v>MAY</v>
      </c>
      <c r="C4" s="12" t="str">
        <f t="shared" si="4"/>
        <v>K</v>
      </c>
      <c r="D4" s="7" t="str">
        <f t="shared" si="5"/>
        <v>F.GFS1K</v>
      </c>
      <c r="P4" s="8" t="str">
        <f t="shared" si="1"/>
        <v>K</v>
      </c>
      <c r="Q4" s="13" t="str">
        <f>RTD("cqg.rtd", ,"ContractData", $Q$1&amp;"?"&amp;R37, "Symbol")</f>
        <v>GFK3</v>
      </c>
      <c r="R4" s="11">
        <f>RTD("cqg.rtd", ,"ContractData", Q4, $R$1,,"T")</f>
        <v>150.69999999999999</v>
      </c>
      <c r="S4" s="11">
        <f>RTD("cqg.rtd", ,"ContractData", Q4,$S$1,,"T")</f>
        <v>150.69999999999999</v>
      </c>
      <c r="T4" s="11">
        <f>RTD("cqg.rtd", ,"ContractData", Q4,$T$1,,"T")</f>
        <v>150.82499999999999</v>
      </c>
      <c r="U4" s="11">
        <f>RTD("cqg.rtd", ,"ContractData",Q4, $U$1,,"T")</f>
        <v>0.17499999999999999</v>
      </c>
      <c r="V4" s="8" t="str">
        <f>F2</f>
        <v>F.GFS3H</v>
      </c>
      <c r="W4" s="11">
        <f>RTD("cqg.rtd", ,"ContractData", V4, $W$1,,"T")</f>
        <v>-12.625</v>
      </c>
      <c r="X4" s="11">
        <f>RTD("cqg.rtd", ,"ContractData", V4, $X$1,,"T")</f>
        <v>-0.92500000000000004</v>
      </c>
      <c r="Y4" s="11">
        <f>RTD("cqg.rtd", ,"ContractData",V4,$Y$1,,"T")</f>
        <v>-12.65</v>
      </c>
      <c r="Z4" s="11">
        <f>RTD("cqg.rtd", ,"ContractData", V4,$Z$1,,"T")</f>
        <v>-12.525</v>
      </c>
      <c r="AA4" s="11">
        <f t="shared" si="6"/>
        <v>-12.625</v>
      </c>
      <c r="AB4" s="11">
        <f t="shared" si="2"/>
        <v>150.69999999999999</v>
      </c>
      <c r="AC4" s="11">
        <f t="shared" ref="AC4:AC13" si="11">IF(OR(R4="",R4&lt;S4,R4&gt;T4),(S4+T4)/2,R4)</f>
        <v>150.69999999999999</v>
      </c>
      <c r="AD4" s="11">
        <f t="shared" si="7"/>
        <v>-12.625</v>
      </c>
      <c r="AF4" s="7">
        <f t="shared" si="8"/>
        <v>150.69999999999999</v>
      </c>
      <c r="AG4" s="7">
        <f>IF(AD4="",NA(),AD4)</f>
        <v>-12.625</v>
      </c>
      <c r="AH4" s="7" t="str">
        <f t="shared" si="9"/>
        <v>MAY</v>
      </c>
      <c r="AI4" s="7" t="str">
        <f>RIGHT(RTD("cqg.rtd", ,"ContractData",V4, "LongDescription"),6)</f>
        <v>h 2013</v>
      </c>
      <c r="AJ4" s="7">
        <f>RTD("cqg.rtd", ,"ContractData",Q4, "Settlement",,"T")</f>
        <v>150.52500000000001</v>
      </c>
      <c r="AK4" s="7">
        <f>RTD("cqg.rtd", ,"ContractData",V4, "Settlement",,"T")</f>
        <v>-11.7</v>
      </c>
      <c r="AL4" s="7">
        <f t="shared" si="10"/>
        <v>150.52500000000001</v>
      </c>
    </row>
    <row r="5" spans="1:38" x14ac:dyDescent="0.2">
      <c r="A5" s="6" t="str">
        <f t="shared" si="3"/>
        <v>GFQ3</v>
      </c>
      <c r="B5" s="6" t="str">
        <f>RTD("cqg.rtd", ,"ContractData",A5, "ContractMonth")</f>
        <v>AUG</v>
      </c>
      <c r="C5" s="12" t="str">
        <f t="shared" si="4"/>
        <v>Q</v>
      </c>
      <c r="D5" s="7" t="str">
        <f t="shared" si="5"/>
        <v>F.GFS1Q</v>
      </c>
      <c r="P5" s="8" t="str">
        <f t="shared" si="1"/>
        <v>Q</v>
      </c>
      <c r="Q5" s="13" t="str">
        <f>RTD("cqg.rtd", ,"ContractData", $Q$1&amp;"?"&amp;R38, "Symbol")</f>
        <v>GFQ3</v>
      </c>
      <c r="R5" s="11">
        <f>RTD("cqg.rtd", ,"ContractData", Q5, $R$1,,"T")</f>
        <v>157.15</v>
      </c>
      <c r="S5" s="11">
        <f>RTD("cqg.rtd", ,"ContractData", Q5,$S$1,,"T")</f>
        <v>157.07499999999999</v>
      </c>
      <c r="T5" s="11">
        <f>RTD("cqg.rtd", ,"ContractData", Q5,$T$1,,"T")</f>
        <v>157.17500000000001</v>
      </c>
      <c r="U5" s="11">
        <f>RTD("cqg.rtd", ,"ContractData",Q5, $U$1,,"T")</f>
        <v>0.45</v>
      </c>
      <c r="V5" s="8" t="str">
        <f>G2</f>
        <v>F.GFS4H</v>
      </c>
      <c r="W5" s="11">
        <f>RTD("cqg.rtd", ,"ContractData", V5, $W$1,,"T")</f>
        <v>-14.025</v>
      </c>
      <c r="X5" s="11">
        <f>RTD("cqg.rtd", ,"ContractData", V5, $X$1,,"T")</f>
        <v>-1.2749999999999999</v>
      </c>
      <c r="Y5" s="11">
        <f>RTD("cqg.rtd", ,"ContractData",V5,$Y$1,,"T")</f>
        <v>-14.025</v>
      </c>
      <c r="Z5" s="11">
        <f>RTD("cqg.rtd", ,"ContractData", V5,$Z$1,,"T")</f>
        <v>-13.875</v>
      </c>
      <c r="AA5" s="11">
        <f t="shared" si="6"/>
        <v>-14.025</v>
      </c>
      <c r="AB5" s="11">
        <f t="shared" si="2"/>
        <v>157.15</v>
      </c>
      <c r="AC5" s="11">
        <f t="shared" si="11"/>
        <v>157.15</v>
      </c>
      <c r="AD5" s="11">
        <f t="shared" si="7"/>
        <v>-14.025</v>
      </c>
      <c r="AF5" s="7">
        <f t="shared" si="8"/>
        <v>157.15</v>
      </c>
      <c r="AG5" s="7">
        <f t="shared" ref="AG5:AG13" si="12">IF(AD5="",NA(),AD5)</f>
        <v>-14.025</v>
      </c>
      <c r="AH5" s="7" t="str">
        <f t="shared" si="9"/>
        <v>AUG</v>
      </c>
      <c r="AI5" s="7" t="str">
        <f>RIGHT(RTD("cqg.rtd", ,"ContractData",V5, "LongDescription"),6)</f>
        <v>h 2013</v>
      </c>
      <c r="AJ5" s="7">
        <f>RTD("cqg.rtd", ,"ContractData",Q5, "Settlement",,"T")</f>
        <v>156.69999999999999</v>
      </c>
      <c r="AK5" s="7">
        <f>RTD("cqg.rtd", ,"ContractData",V5, "Settlement",,"T")</f>
        <v>-12.824999999999999</v>
      </c>
      <c r="AL5" s="7">
        <f t="shared" si="10"/>
        <v>156.69999999999999</v>
      </c>
    </row>
    <row r="6" spans="1:38" x14ac:dyDescent="0.2">
      <c r="A6" s="6" t="str">
        <f t="shared" si="3"/>
        <v>GFU3</v>
      </c>
      <c r="B6" s="6" t="str">
        <f>RTD("cqg.rtd", ,"ContractData",A6, "ContractMonth")</f>
        <v>SEP</v>
      </c>
      <c r="C6" s="12" t="str">
        <f t="shared" si="4"/>
        <v>U</v>
      </c>
      <c r="D6" s="7" t="str">
        <f t="shared" si="5"/>
        <v>F.GFS1U</v>
      </c>
      <c r="P6" s="8" t="str">
        <f t="shared" si="1"/>
        <v>U</v>
      </c>
      <c r="Q6" s="13" t="str">
        <f>RTD("cqg.rtd", ,"ContractData", $Q$1&amp;"?"&amp;R39, "Symbol")</f>
        <v>GFU3</v>
      </c>
      <c r="R6" s="11">
        <f>RTD("cqg.rtd", ,"ContractData", Q6, $R$1,,"T")</f>
        <v>158.47499999999999</v>
      </c>
      <c r="S6" s="11">
        <f>RTD("cqg.rtd", ,"ContractData", Q6,$S$1,,"T")</f>
        <v>158.44999999999999</v>
      </c>
      <c r="T6" s="11">
        <f>RTD("cqg.rtd", ,"ContractData", Q6,$T$1,,"T")</f>
        <v>158.55000000000001</v>
      </c>
      <c r="U6" s="11">
        <f>RTD("cqg.rtd", ,"ContractData",Q6, $U$1,,"T")</f>
        <v>0.65</v>
      </c>
      <c r="V6" s="8" t="str">
        <f>H2</f>
        <v>F.GFS5H</v>
      </c>
      <c r="W6" s="11">
        <f>RTD("cqg.rtd", ,"ContractData", V6, $W$1,,"T")</f>
        <v>-15.025</v>
      </c>
      <c r="X6" s="11">
        <f>RTD("cqg.rtd", ,"ContractData", V6, $X$1,,"T")</f>
        <v>-0.67500000000000004</v>
      </c>
      <c r="Y6" s="11">
        <f>RTD("cqg.rtd", ,"ContractData",V6,$Y$1,,"T")</f>
        <v>-15.05</v>
      </c>
      <c r="Z6" s="11">
        <f>RTD("cqg.rtd", ,"ContractData", V6,$Z$1,,"T")</f>
        <v>-14.7</v>
      </c>
      <c r="AA6" s="11">
        <f t="shared" si="6"/>
        <v>-15.025</v>
      </c>
      <c r="AB6" s="11">
        <f t="shared" si="2"/>
        <v>158.47499999999999</v>
      </c>
      <c r="AC6" s="11">
        <f t="shared" si="11"/>
        <v>158.47499999999999</v>
      </c>
      <c r="AD6" s="11">
        <f t="shared" si="7"/>
        <v>-15.025</v>
      </c>
      <c r="AF6" s="7">
        <f t="shared" si="8"/>
        <v>158.47499999999999</v>
      </c>
      <c r="AG6" s="7">
        <f t="shared" si="12"/>
        <v>-15.025</v>
      </c>
      <c r="AH6" s="7" t="str">
        <f t="shared" si="9"/>
        <v>SEP</v>
      </c>
      <c r="AI6" s="7" t="str">
        <f>RIGHT(RTD("cqg.rtd", ,"ContractData",V6, "LongDescription"),6)</f>
        <v>h 2013</v>
      </c>
      <c r="AJ6" s="7">
        <f>RTD("cqg.rtd", ,"ContractData",Q6, "Settlement",,"T")</f>
        <v>157.82499999999999</v>
      </c>
      <c r="AK6" s="7">
        <f>RTD("cqg.rtd", ,"ContractData",V6, "Settlement",,"T")</f>
        <v>-14.1</v>
      </c>
      <c r="AL6" s="7">
        <f t="shared" si="10"/>
        <v>157.82499999999999</v>
      </c>
    </row>
    <row r="7" spans="1:38" x14ac:dyDescent="0.2">
      <c r="A7" s="6" t="str">
        <f t="shared" si="3"/>
        <v>GFV3</v>
      </c>
      <c r="B7" s="6" t="str">
        <f>RTD("cqg.rtd", ,"ContractData",A7, "ContractMonth")</f>
        <v>OCT</v>
      </c>
      <c r="C7" s="12" t="str">
        <f t="shared" si="4"/>
        <v>V</v>
      </c>
      <c r="D7" s="7" t="str">
        <f t="shared" si="5"/>
        <v>F.GFS1V</v>
      </c>
      <c r="P7" s="8" t="str">
        <f t="shared" si="1"/>
        <v>V</v>
      </c>
      <c r="Q7" s="13" t="str">
        <f>RTD("cqg.rtd", ,"ContractData", $Q$1&amp;"?"&amp;R40, "Symbol")</f>
        <v>GFV3</v>
      </c>
      <c r="R7" s="11">
        <f>RTD("cqg.rtd", ,"ContractData", Q7, $R$1,,"T")</f>
        <v>160.1</v>
      </c>
      <c r="S7" s="11">
        <f>RTD("cqg.rtd", ,"ContractData", Q7,$S$1,,"T")</f>
        <v>159.35</v>
      </c>
      <c r="T7" s="11">
        <f>RTD("cqg.rtd", ,"ContractData", Q7,$T$1,,"T")</f>
        <v>159.6</v>
      </c>
      <c r="U7" s="11">
        <f>RTD("cqg.rtd", ,"ContractData",Q7, $U$1,,"T")</f>
        <v>0.5</v>
      </c>
      <c r="V7" s="8" t="str">
        <f>I2</f>
        <v>F.GFS6H</v>
      </c>
      <c r="W7" s="11">
        <f>RTD("cqg.rtd", ,"ContractData", V7, $W$1,,"T")</f>
        <v>-15.75</v>
      </c>
      <c r="X7" s="11">
        <f>RTD("cqg.rtd", ,"ContractData", V7, $X$1,,"T")</f>
        <v>-0.45</v>
      </c>
      <c r="Y7" s="11">
        <f>RTD("cqg.rtd", ,"ContractData",V7,$Y$1,,"T")</f>
        <v>-15.925000000000001</v>
      </c>
      <c r="Z7" s="11">
        <f>RTD("cqg.rtd", ,"ContractData", V7,$Z$1,,"T")</f>
        <v>-15.525</v>
      </c>
      <c r="AA7" s="11">
        <f t="shared" si="6"/>
        <v>-15.75</v>
      </c>
      <c r="AB7" s="11">
        <f t="shared" si="2"/>
        <v>159.47499999999999</v>
      </c>
      <c r="AC7" s="11">
        <f t="shared" si="11"/>
        <v>159.47499999999999</v>
      </c>
      <c r="AD7" s="11">
        <f t="shared" si="7"/>
        <v>-15.75</v>
      </c>
      <c r="AF7" s="7">
        <f t="shared" si="8"/>
        <v>159.47499999999999</v>
      </c>
      <c r="AG7" s="7">
        <f t="shared" si="12"/>
        <v>-15.75</v>
      </c>
      <c r="AH7" s="7" t="str">
        <f t="shared" si="9"/>
        <v>OCT</v>
      </c>
      <c r="AI7" s="7" t="str">
        <f>RIGHT(RTD("cqg.rtd", ,"ContractData",V7, "LongDescription"),6)</f>
        <v>h 2013</v>
      </c>
      <c r="AJ7" s="7">
        <f>RTD("cqg.rtd", ,"ContractData",Q7, "Settlement",,"T")</f>
        <v>159.1</v>
      </c>
      <c r="AK7" s="7">
        <f>RTD("cqg.rtd", ,"ContractData",V7, "Settlement",,"T")</f>
        <v>-15.1</v>
      </c>
      <c r="AL7" s="7">
        <f t="shared" si="10"/>
        <v>159.1</v>
      </c>
    </row>
    <row r="8" spans="1:38" x14ac:dyDescent="0.2">
      <c r="A8" s="6" t="str">
        <f t="shared" si="3"/>
        <v>GFX3</v>
      </c>
      <c r="B8" s="6" t="str">
        <f>RTD("cqg.rtd", ,"ContractData",A8, "ContractMonth")</f>
        <v>NOV</v>
      </c>
      <c r="C8" s="12" t="str">
        <f t="shared" si="4"/>
        <v>X</v>
      </c>
      <c r="D8" s="7" t="str">
        <f t="shared" si="5"/>
        <v>F.GFS1X</v>
      </c>
      <c r="P8" s="8" t="str">
        <f t="shared" si="1"/>
        <v>X</v>
      </c>
      <c r="Q8" s="13" t="str">
        <f>RTD("cqg.rtd", ,"ContractData", $Q$1&amp;"?"&amp;R41, "Symbol")</f>
        <v>GFX3</v>
      </c>
      <c r="R8" s="11">
        <f>RTD("cqg.rtd", ,"ContractData", Q8, $R$1,,"T")</f>
        <v>160.75</v>
      </c>
      <c r="S8" s="11">
        <f>RTD("cqg.rtd", ,"ContractData", Q8,$S$1,,"T")</f>
        <v>160.17500000000001</v>
      </c>
      <c r="T8" s="11">
        <f>RTD("cqg.rtd", ,"ContractData", Q8,$T$1,,"T")</f>
        <v>160.44999999999999</v>
      </c>
      <c r="U8" s="11">
        <f>RTD("cqg.rtd", ,"ContractData",Q8, $U$1,,"T")</f>
        <v>2.5000000000000001E-2</v>
      </c>
      <c r="V8" s="8" t="str">
        <f>J2</f>
        <v>F.GFS7H</v>
      </c>
      <c r="W8" s="11">
        <f>RTD("cqg.rtd", ,"ContractData", V8, $W$1,,"T")</f>
        <v>-15.975</v>
      </c>
      <c r="X8" s="11">
        <f>RTD("cqg.rtd", ,"ContractData", V8, $X$1,,"T")</f>
        <v>-0.6</v>
      </c>
      <c r="Y8" s="11">
        <f>RTD("cqg.rtd", ,"ContractData",V8,$Y$1,,"T")</f>
        <v>-17.524999999999999</v>
      </c>
      <c r="Z8" s="11" t="str">
        <f>RTD("cqg.rtd", ,"ContractData", V8,$Z$1,,"T")</f>
        <v/>
      </c>
      <c r="AA8" s="11">
        <f t="shared" si="6"/>
        <v>-15.975</v>
      </c>
      <c r="AB8" s="11">
        <f t="shared" ref="AB8:AB13" si="13">IF(OR(S8="",T8=""),R8,(IF(OR(R8="",R8&lt;S8,R8&gt;T8),(S8+T8)/2,R8)))</f>
        <v>160.3125</v>
      </c>
      <c r="AC8" s="11">
        <f t="shared" si="11"/>
        <v>160.3125</v>
      </c>
      <c r="AD8" s="11">
        <f t="shared" si="7"/>
        <v>-15.975</v>
      </c>
      <c r="AF8" s="7">
        <f t="shared" si="8"/>
        <v>160.3125</v>
      </c>
      <c r="AG8" s="7">
        <f t="shared" si="12"/>
        <v>-15.975</v>
      </c>
      <c r="AH8" s="7" t="str">
        <f t="shared" si="9"/>
        <v>NOV</v>
      </c>
      <c r="AI8" s="7" t="str">
        <f>RIGHT(RTD("cqg.rtd", ,"ContractData",V8, "LongDescription"),6)</f>
        <v>h 2013</v>
      </c>
      <c r="AJ8" s="7">
        <f>RTD("cqg.rtd", ,"ContractData",Q8, "Settlement",,"T")</f>
        <v>160.1</v>
      </c>
      <c r="AK8" s="7">
        <f>RTD("cqg.rtd", ,"ContractData",V8, "Settlement",,"T")</f>
        <v>-17</v>
      </c>
      <c r="AL8" s="7">
        <f t="shared" si="10"/>
        <v>160.1</v>
      </c>
    </row>
    <row r="9" spans="1:38" x14ac:dyDescent="0.2">
      <c r="A9" s="6" t="str">
        <f t="shared" si="3"/>
        <v>GFF4</v>
      </c>
      <c r="B9" s="6" t="str">
        <f>RTD("cqg.rtd", ,"ContractData",A9, "ContractMonth")</f>
        <v>JAN</v>
      </c>
      <c r="C9" s="12" t="str">
        <f t="shared" si="4"/>
        <v>F</v>
      </c>
      <c r="D9" s="7" t="str">
        <f t="shared" si="5"/>
        <v>F.GFS1F</v>
      </c>
      <c r="P9" s="8" t="str">
        <f t="shared" si="1"/>
        <v>F</v>
      </c>
      <c r="Q9" s="13" t="str">
        <f>RTD("cqg.rtd", ,"ContractData", $Q$1&amp;"?"&amp;R42, "Symbol")</f>
        <v>GFF4</v>
      </c>
      <c r="R9" s="11">
        <f>RTD("cqg.rtd", ,"ContractData", Q9, $R$1,,"T")</f>
        <v>161</v>
      </c>
      <c r="S9" s="11">
        <f>RTD("cqg.rtd", ,"ContractData", Q9,$S$1,,"T")</f>
        <v>160.35</v>
      </c>
      <c r="T9" s="11">
        <f>RTD("cqg.rtd", ,"ContractData", Q9,$T$1,,"T")</f>
        <v>160.85</v>
      </c>
      <c r="U9" s="11">
        <f>RTD("cqg.rtd", ,"ContractData",Q9, $U$1,,"T")</f>
        <v>-1.65</v>
      </c>
      <c r="V9" s="8" t="str">
        <f>K2</f>
        <v>F.GFS8H</v>
      </c>
      <c r="W9" s="11" t="str">
        <f>RTD("cqg.rtd", ,"ContractData", V9, $W$1,,"T")</f>
        <v>295: F.GFS8H could not be resolved.</v>
      </c>
      <c r="X9" s="11" t="str">
        <f>RTD("cqg.rtd", ,"ContractData", V9, $X$1,,"T")</f>
        <v>295: F.GFS8H could not be resolved.</v>
      </c>
      <c r="Y9" s="11" t="str">
        <f>RTD("cqg.rtd", ,"ContractData",V9,$Y$1,,"T")</f>
        <v>295: F.GFS8H could not be resolved.</v>
      </c>
      <c r="Z9" s="11" t="str">
        <f>RTD("cqg.rtd", ,"ContractData", V9,$Z$1,,"T")</f>
        <v>295: F.GFS8H could not be resolved.</v>
      </c>
      <c r="AA9" s="11" t="str">
        <f t="shared" si="6"/>
        <v>295: F.GFS8H could not be resolved.</v>
      </c>
      <c r="AB9" s="11">
        <f t="shared" si="13"/>
        <v>160.6</v>
      </c>
      <c r="AC9" s="11">
        <f t="shared" si="11"/>
        <v>160.6</v>
      </c>
      <c r="AD9" s="11" t="str">
        <f t="shared" si="7"/>
        <v>295: F.GFS8H could not be resolved.</v>
      </c>
      <c r="AF9" s="7">
        <f t="shared" si="8"/>
        <v>160.6</v>
      </c>
      <c r="AG9" s="7" t="str">
        <f t="shared" si="12"/>
        <v>295: F.GFS8H could not be resolved.</v>
      </c>
      <c r="AH9" s="7" t="str">
        <f t="shared" si="9"/>
        <v>JAN</v>
      </c>
      <c r="AI9" s="7" t="str">
        <f>RIGHT(RTD("cqg.rtd", ,"ContractData",V9, "LongDescription"),6)</f>
        <v>olved.</v>
      </c>
      <c r="AJ9" s="7">
        <f>RTD("cqg.rtd", ,"ContractData",Q9, "Settlement",,"T")</f>
        <v>162</v>
      </c>
      <c r="AK9" s="7" t="str">
        <f>RTD("cqg.rtd", ,"ContractData",V9, "Settlement",,"T")</f>
        <v>295: F.GFS8H could not be resolved.</v>
      </c>
      <c r="AL9" s="7">
        <f t="shared" si="10"/>
        <v>162</v>
      </c>
    </row>
    <row r="10" spans="1:38" x14ac:dyDescent="0.2">
      <c r="A10" s="6">
        <f t="shared" si="3"/>
        <v>0</v>
      </c>
      <c r="B10" s="6" t="str">
        <f>RTD("cqg.rtd", ,"ContractData",A10, "ContractMonth")</f>
        <v>295: 0 could not be resolved.</v>
      </c>
      <c r="C10" s="12" t="b">
        <f t="shared" si="4"/>
        <v>0</v>
      </c>
      <c r="D10" s="7" t="str">
        <f t="shared" si="5"/>
        <v>F.GFS1FALSE</v>
      </c>
      <c r="P10" s="8"/>
      <c r="Q10" s="13"/>
      <c r="R10" s="11"/>
      <c r="S10" s="11"/>
      <c r="T10" s="11"/>
      <c r="U10" s="11"/>
      <c r="V10" s="8"/>
      <c r="W10" s="11"/>
      <c r="X10" s="11"/>
      <c r="Y10" s="11"/>
      <c r="Z10" s="11"/>
      <c r="AA10" s="11"/>
      <c r="AB10" s="11"/>
      <c r="AC10" s="11"/>
      <c r="AD10" s="11"/>
    </row>
    <row r="11" spans="1:38" x14ac:dyDescent="0.2">
      <c r="A11" s="6">
        <f t="shared" si="3"/>
        <v>0</v>
      </c>
      <c r="B11" s="6" t="str">
        <f>RTD("cqg.rtd", ,"ContractData",A11, "ContractMonth")</f>
        <v>295: 0 could not be resolved.</v>
      </c>
      <c r="C11" s="12" t="b">
        <f t="shared" si="4"/>
        <v>0</v>
      </c>
      <c r="D11" s="7" t="str">
        <f t="shared" si="5"/>
        <v>F.GFS1FALSE</v>
      </c>
      <c r="P11" s="8"/>
      <c r="Q11" s="13"/>
      <c r="R11" s="11"/>
      <c r="S11" s="11"/>
      <c r="T11" s="11"/>
      <c r="U11" s="11"/>
      <c r="V11" s="8"/>
      <c r="W11" s="11"/>
      <c r="X11" s="11"/>
      <c r="Y11" s="11"/>
      <c r="Z11" s="11"/>
      <c r="AA11" s="11"/>
      <c r="AB11" s="11"/>
      <c r="AC11" s="11"/>
      <c r="AD11" s="11"/>
    </row>
    <row r="12" spans="1:38" x14ac:dyDescent="0.2">
      <c r="A12" s="6">
        <f t="shared" si="3"/>
        <v>0</v>
      </c>
      <c r="B12" s="6" t="str">
        <f>RTD("cqg.rtd", ,"ContractData",A12, "ContractMonth")</f>
        <v>295: 0 could not be resolved.</v>
      </c>
      <c r="C12" s="12" t="b">
        <f t="shared" si="4"/>
        <v>0</v>
      </c>
      <c r="D12" s="7" t="str">
        <f t="shared" si="5"/>
        <v>F.GFS1FALSE</v>
      </c>
      <c r="P12" s="8"/>
      <c r="Q12" s="13"/>
      <c r="R12" s="11"/>
      <c r="S12" s="11"/>
      <c r="T12" s="11"/>
      <c r="U12" s="11"/>
      <c r="V12" s="8"/>
      <c r="W12" s="11"/>
      <c r="X12" s="11"/>
      <c r="Y12" s="11"/>
      <c r="Z12" s="11"/>
      <c r="AA12" s="11"/>
      <c r="AB12" s="11"/>
      <c r="AC12" s="11"/>
      <c r="AD12" s="11"/>
    </row>
    <row r="13" spans="1:38" x14ac:dyDescent="0.2">
      <c r="A13" s="6">
        <f t="shared" si="3"/>
        <v>0</v>
      </c>
      <c r="B13" s="6" t="str">
        <f>RTD("cqg.rtd", ,"ContractData",A13, "ContractMonth")</f>
        <v>295: 0 could not be resolved.</v>
      </c>
      <c r="C13" s="12" t="b">
        <f t="shared" si="4"/>
        <v>0</v>
      </c>
      <c r="D13" s="7" t="str">
        <f t="shared" si="5"/>
        <v>F.GFS1FALSE</v>
      </c>
      <c r="P13" s="8"/>
      <c r="Q13" s="13"/>
      <c r="R13" s="11"/>
      <c r="S13" s="11"/>
      <c r="T13" s="11"/>
      <c r="U13" s="11"/>
      <c r="V13" s="8"/>
      <c r="W13" s="11"/>
      <c r="X13" s="11"/>
      <c r="Y13" s="11"/>
      <c r="Z13" s="11"/>
      <c r="AA13" s="11"/>
      <c r="AB13" s="11"/>
      <c r="AC13" s="11"/>
      <c r="AD13" s="11"/>
    </row>
    <row r="14" spans="1:38" x14ac:dyDescent="0.2"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8" x14ac:dyDescent="0.2">
      <c r="P15" s="8"/>
      <c r="Q15" s="8"/>
      <c r="R15" s="8"/>
      <c r="S15" s="8"/>
      <c r="T15" s="8"/>
      <c r="U15" s="8"/>
    </row>
    <row r="17" spans="21:29" x14ac:dyDescent="0.2">
      <c r="AB17" s="14"/>
      <c r="AC17" s="14"/>
    </row>
    <row r="18" spans="21:29" x14ac:dyDescent="0.2">
      <c r="AB18" s="14"/>
      <c r="AC18" s="14"/>
    </row>
    <row r="19" spans="21:29" x14ac:dyDescent="0.2">
      <c r="AB19" s="14"/>
      <c r="AC19" s="14"/>
    </row>
    <row r="20" spans="21:29" x14ac:dyDescent="0.2">
      <c r="U20" s="15"/>
      <c r="AB20" s="14"/>
      <c r="AC20" s="14"/>
    </row>
    <row r="21" spans="21:29" x14ac:dyDescent="0.2">
      <c r="AB21" s="14"/>
      <c r="AC21" s="14"/>
    </row>
    <row r="22" spans="21:29" x14ac:dyDescent="0.2">
      <c r="AB22" s="14"/>
      <c r="AC22" s="14"/>
    </row>
    <row r="23" spans="21:29" x14ac:dyDescent="0.2">
      <c r="AB23" s="14"/>
      <c r="AC23" s="14"/>
    </row>
    <row r="24" spans="21:29" x14ac:dyDescent="0.2">
      <c r="AB24" s="14"/>
      <c r="AC24" s="14"/>
    </row>
    <row r="34" spans="18:19" x14ac:dyDescent="0.2">
      <c r="R34" s="7" t="s">
        <v>6</v>
      </c>
    </row>
    <row r="35" spans="18:19" x14ac:dyDescent="0.2">
      <c r="R35" s="7">
        <v>1</v>
      </c>
      <c r="S35" s="7" t="str">
        <f>RTD("cqg.rtd",,"ContractData",Q1&amp;"?1", "Symbol")</f>
        <v>GFH3</v>
      </c>
    </row>
    <row r="36" spans="18:19" x14ac:dyDescent="0.2">
      <c r="R36" s="7">
        <f>R35+1</f>
        <v>2</v>
      </c>
      <c r="S36" s="7" t="str">
        <f>RTD("cqg.rtd",,"ContractData",Q1&amp;"?2", "Symbol")</f>
        <v>GFJ3</v>
      </c>
    </row>
    <row r="37" spans="18:19" x14ac:dyDescent="0.2">
      <c r="R37" s="7">
        <f t="shared" ref="R37:R46" si="14">R36+1</f>
        <v>3</v>
      </c>
    </row>
    <row r="38" spans="18:19" x14ac:dyDescent="0.2">
      <c r="R38" s="7">
        <f t="shared" si="14"/>
        <v>4</v>
      </c>
    </row>
    <row r="39" spans="18:19" x14ac:dyDescent="0.2">
      <c r="R39" s="7">
        <f t="shared" si="14"/>
        <v>5</v>
      </c>
    </row>
    <row r="40" spans="18:19" x14ac:dyDescent="0.2">
      <c r="R40" s="7">
        <f t="shared" si="14"/>
        <v>6</v>
      </c>
    </row>
    <row r="41" spans="18:19" x14ac:dyDescent="0.2">
      <c r="R41" s="7">
        <f t="shared" si="14"/>
        <v>7</v>
      </c>
    </row>
    <row r="42" spans="18:19" x14ac:dyDescent="0.2">
      <c r="R42" s="7">
        <f t="shared" si="14"/>
        <v>8</v>
      </c>
    </row>
    <row r="43" spans="18:19" x14ac:dyDescent="0.2">
      <c r="R43" s="7">
        <f t="shared" si="14"/>
        <v>9</v>
      </c>
    </row>
    <row r="44" spans="18:19" x14ac:dyDescent="0.2">
      <c r="R44" s="7">
        <f t="shared" si="14"/>
        <v>10</v>
      </c>
    </row>
    <row r="45" spans="18:19" x14ac:dyDescent="0.2">
      <c r="R45" s="7">
        <f t="shared" si="14"/>
        <v>11</v>
      </c>
    </row>
    <row r="46" spans="18:19" x14ac:dyDescent="0.2">
      <c r="R46" s="7">
        <f t="shared" si="14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opLeftCell="D1" workbookViewId="0">
      <selection activeCell="AH10" sqref="AH10"/>
    </sheetView>
  </sheetViews>
  <sheetFormatPr defaultColWidth="9" defaultRowHeight="14.25" x14ac:dyDescent="0.2"/>
  <cols>
    <col min="1" max="17" width="9" style="7"/>
    <col min="18" max="18" width="14.375" style="7" customWidth="1"/>
    <col min="19" max="20" width="9" style="7"/>
    <col min="21" max="21" width="17.75" style="7" customWidth="1"/>
    <col min="22" max="22" width="9" style="7"/>
    <col min="23" max="23" width="9" style="7" customWidth="1"/>
    <col min="24" max="16384" width="9" style="7"/>
  </cols>
  <sheetData>
    <row r="1" spans="1:38" x14ac:dyDescent="0.2">
      <c r="A1" s="6"/>
      <c r="B1" s="6"/>
      <c r="C1" s="6" t="s">
        <v>2</v>
      </c>
      <c r="D1" s="7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  <c r="P1" s="8"/>
      <c r="Q1" s="9" t="s">
        <v>16</v>
      </c>
      <c r="R1" s="10" t="s">
        <v>3</v>
      </c>
      <c r="S1" s="10" t="s">
        <v>0</v>
      </c>
      <c r="T1" s="10" t="s">
        <v>1</v>
      </c>
      <c r="U1" s="8" t="s">
        <v>4</v>
      </c>
      <c r="V1" s="8"/>
      <c r="W1" s="10" t="s">
        <v>3</v>
      </c>
      <c r="X1" s="8" t="s">
        <v>4</v>
      </c>
      <c r="Y1" s="10" t="s">
        <v>0</v>
      </c>
      <c r="Z1" s="10" t="s">
        <v>1</v>
      </c>
      <c r="AA1" s="8" t="s">
        <v>5</v>
      </c>
      <c r="AB1" s="8" t="s">
        <v>5</v>
      </c>
      <c r="AC1" s="11"/>
      <c r="AD1" s="8" t="s">
        <v>5</v>
      </c>
    </row>
    <row r="2" spans="1:38" x14ac:dyDescent="0.2">
      <c r="A2" s="6" t="str">
        <f>Q2</f>
        <v>HEG3</v>
      </c>
      <c r="B2" s="6" t="str">
        <f>RTD("cqg.rtd", ,"ContractData",A2, "ContractMonth")</f>
        <v>FEB</v>
      </c>
      <c r="C2" s="12" t="str">
        <f>IF(B2="Jan","F",IF(B2="Feb","G",IF(B2="Mar","H",IF(B2="Apr","J",IF(B2="May","K",IF(B2="JUN","M",IF(B2="Jul","N",IF(B2="Aug","Q",IF(B2="Sep","U",IF(B2="Oct","V",IF(B2="Nov","X",IF(B2="Dec","Z"))))))))))))</f>
        <v>G</v>
      </c>
      <c r="D2" s="7" t="str">
        <f>$Q$1&amp;$C$1&amp;$D$1&amp;$C2</f>
        <v>F.HES1G</v>
      </c>
      <c r="E2" s="7" t="str">
        <f>$Q$1&amp;$C$1&amp;$E$1&amp;$C2</f>
        <v>F.HES2G</v>
      </c>
      <c r="F2" s="7" t="str">
        <f>$Q$1&amp;$C$1&amp;$F$1&amp;$C2</f>
        <v>F.HES3G</v>
      </c>
      <c r="G2" s="7" t="str">
        <f>$Q$1&amp;$C$1&amp;$G$1&amp;$C2</f>
        <v>F.HES4G</v>
      </c>
      <c r="H2" s="7" t="str">
        <f>$Q$1&amp;$C$1&amp;$H$1&amp;$C2</f>
        <v>F.HES5G</v>
      </c>
      <c r="I2" s="7" t="str">
        <f>$Q$1&amp;$C$1&amp;$I$1&amp;$C2</f>
        <v>F.HES6G</v>
      </c>
      <c r="J2" s="7" t="str">
        <f>$Q$1&amp;$C$1&amp;$J$1&amp;$C2</f>
        <v>F.HES7G</v>
      </c>
      <c r="K2" s="7" t="str">
        <f t="shared" ref="K2" si="0">$Q$1&amp;$C$1&amp;$K$1&amp;$C2</f>
        <v>F.HES8G</v>
      </c>
      <c r="L2" s="7" t="str">
        <f>$Q$1&amp;$C$1&amp;$L$1&amp;$C2</f>
        <v>F.HES9G</v>
      </c>
      <c r="M2" s="7" t="str">
        <f>$Q$1&amp;$C$1&amp;$M$1&amp;$C2</f>
        <v>F.HES10G</v>
      </c>
      <c r="N2" s="7" t="str">
        <f>$Q$1&amp;$C$1&amp;$N$1&amp;$C2</f>
        <v>F.HES11G</v>
      </c>
      <c r="O2" s="7" t="str">
        <f>$Q$1&amp;$C$1&amp;$O$1&amp;$C2</f>
        <v>F.HES12G</v>
      </c>
      <c r="P2" s="8" t="str">
        <f>LEFT(RIGHT(Q2,2),1)</f>
        <v>G</v>
      </c>
      <c r="Q2" s="13" t="str">
        <f>RTD("cqg.rtd", ,"ContractData", $Q$1&amp;"?"&amp;R35, "Symbol")</f>
        <v>HEG3</v>
      </c>
      <c r="R2" s="11">
        <f>RTD("cqg.rtd", ,"ContractData", Q2, $R$1,,"T")</f>
        <v>86.525000000000006</v>
      </c>
      <c r="S2" s="11">
        <f>RTD("cqg.rtd", ,"ContractData", Q2,$S$1,,"T")</f>
        <v>86.525000000000006</v>
      </c>
      <c r="T2" s="11">
        <f>RTD("cqg.rtd", ,"ContractData", Q2,$T$1,,"T")</f>
        <v>86.575000000000003</v>
      </c>
      <c r="U2" s="11">
        <f>RTD("cqg.rtd", ,"ContractData",Q2, $U$1,,"T")</f>
        <v>7.4999999999999997E-2</v>
      </c>
      <c r="V2" s="8" t="str">
        <f>D2</f>
        <v>F.HES1G</v>
      </c>
      <c r="W2" s="11">
        <f>RTD("cqg.rtd", ,"ContractData", V2, $W$1,,"T")</f>
        <v>0.2</v>
      </c>
      <c r="X2" s="11">
        <f>RTD("cqg.rtd", ,"ContractData", V2, $X$1,,"T")</f>
        <v>-0.15</v>
      </c>
      <c r="Y2" s="11">
        <f>RTD("cqg.rtd", ,"ContractData",V2,$Y$1,,"T")</f>
        <v>0.17499999999999999</v>
      </c>
      <c r="Z2" s="11">
        <f>RTD("cqg.rtd", ,"ContractData", V2,$Z$1,,"T")</f>
        <v>0.22500000000000001</v>
      </c>
      <c r="AA2" s="11">
        <f>IF(OR(W2="",W2&lt;Y2,W2&gt;Z2),(Y2+Z2)/2,W2)</f>
        <v>0.2</v>
      </c>
      <c r="AB2" s="11">
        <f t="shared" ref="AB2:AB7" si="1">IF(OR(S2="",T2=""),R2,(IF(OR(R2="",R2&lt;S2,R2&gt;T2),(S2+T2)/2,R2)))</f>
        <v>86.525000000000006</v>
      </c>
      <c r="AC2" s="11">
        <f>IF(OR(R2="",R2&lt;S2,R2&gt;T2),(S2+T2)/2,R2)</f>
        <v>86.525000000000006</v>
      </c>
      <c r="AD2" s="11">
        <f>IF(OR(Y2="",Z2=""),W2,(IF(OR(W2="",W2&lt;Y2,W2&gt;Z2),(Y2+Z2)/2,W2)))</f>
        <v>0.2</v>
      </c>
      <c r="AF2" s="7">
        <f>IF(ISERROR(AC2),NA(),AC2)</f>
        <v>86.525000000000006</v>
      </c>
      <c r="AG2" s="7">
        <f>IF(AD2="",NA(),AD2)</f>
        <v>0.2</v>
      </c>
      <c r="AH2" s="7" t="str">
        <f>IF(P2="F","JAN",IF(P2="G","FEB",IF(P2="H","MAR",IF(P2="J","APR",IF(P2="K","MAY",IF(P2="M","JUN",IF(P2="N","JUL",IF(P2="Q","AUG",IF(P2="U","SEP",IF(P2="V","OCT",IF(P2="X","NOV",IF(P2="Z","DEC",))))))))))))</f>
        <v>FEB</v>
      </c>
      <c r="AI2" s="7" t="str">
        <f>RIGHT(RTD("cqg.rtd", ,"ContractData",V2, "LongDescription"),6)</f>
        <v>y 2013</v>
      </c>
      <c r="AJ2" s="7">
        <f>RTD("cqg.rtd", ,"ContractData",Q2, "Settlement",,"T")</f>
        <v>86.45</v>
      </c>
      <c r="AK2" s="7">
        <f>RTD("cqg.rtd", ,"ContractData",V2, "Settlement",,"T")</f>
        <v>0.32500000000000001</v>
      </c>
      <c r="AL2" s="7">
        <f>IF(AJ2="",NA(),AJ2)</f>
        <v>86.45</v>
      </c>
    </row>
    <row r="3" spans="1:38" x14ac:dyDescent="0.2">
      <c r="A3" s="6" t="str">
        <f t="shared" ref="A3:A13" si="2">Q3</f>
        <v>HEJ3</v>
      </c>
      <c r="B3" s="6" t="str">
        <f>RTD("cqg.rtd", ,"ContractData",A3, "ContractMonth")</f>
        <v>APR</v>
      </c>
      <c r="C3" s="12" t="str">
        <f t="shared" ref="C3:C13" si="3">IF(B3="Jan","F",IF(B3="Feb","G",IF(B3="Mar","H",IF(B3="Apr","J",IF(B3="May","K",IF(B3="JUN","M",IF(B3="Jul","N",IF(B3="Aug","Q",IF(B3="Sep","U",IF(B3="Oct","V",IF(B3="Nov","X",IF(B3="Dec","Z"))))))))))))</f>
        <v>J</v>
      </c>
      <c r="D3" s="7" t="str">
        <f t="shared" ref="D3:D13" si="4">$Q$1&amp;$C$1&amp;$D$1&amp;$C3</f>
        <v>F.HES1J</v>
      </c>
      <c r="P3" s="8" t="str">
        <f t="shared" ref="P3:P13" si="5">LEFT(RIGHT(Q3,2),1)</f>
        <v>J</v>
      </c>
      <c r="Q3" s="13" t="str">
        <f>RTD("cqg.rtd", ,"ContractData", $Q$1&amp;"?"&amp;R36, "Symbol")</f>
        <v>HEJ3</v>
      </c>
      <c r="R3" s="11">
        <f>RTD("cqg.rtd", ,"ContractData", Q3, $R$1,,"T")</f>
        <v>86.325000000000003</v>
      </c>
      <c r="S3" s="11">
        <f>RTD("cqg.rtd", ,"ContractData", Q3,$S$1,,"T")</f>
        <v>86.325000000000003</v>
      </c>
      <c r="T3" s="11">
        <f>RTD("cqg.rtd", ,"ContractData", Q3,$T$1,,"T")</f>
        <v>86.35</v>
      </c>
      <c r="U3" s="11">
        <f>RTD("cqg.rtd", ,"ContractData",Q3, $U$1,,"T")</f>
        <v>0.2</v>
      </c>
      <c r="V3" s="8" t="str">
        <f>E2</f>
        <v>F.HES2G</v>
      </c>
      <c r="W3" s="11">
        <f>RTD("cqg.rtd", ,"ContractData", V3, $W$1,,"T")</f>
        <v>-6.5750000000000002</v>
      </c>
      <c r="X3" s="11">
        <f>RTD("cqg.rtd", ,"ContractData", V3, $X$1,,"T")</f>
        <v>0.375</v>
      </c>
      <c r="Y3" s="11">
        <f>RTD("cqg.rtd", ,"ContractData",V3,$Y$1,,"T")</f>
        <v>-6.9749999999999996</v>
      </c>
      <c r="Z3" s="11">
        <f>RTD("cqg.rtd", ,"ContractData", V3,$Z$1,,"T")</f>
        <v>-6.6749999999999998</v>
      </c>
      <c r="AA3" s="11">
        <f t="shared" ref="AA3:AA13" si="6">IF(OR(W3="",W3&lt;Y3,W3&gt;Z3),(Y3+Z3)/2,W3)</f>
        <v>-6.8249999999999993</v>
      </c>
      <c r="AB3" s="11">
        <f t="shared" si="1"/>
        <v>86.325000000000003</v>
      </c>
      <c r="AC3" s="11">
        <f>IF(OR(R3="",R3&lt;S3,R3&gt;T3),(S3+T3)/2,R3)</f>
        <v>86.325000000000003</v>
      </c>
      <c r="AD3" s="11">
        <f t="shared" ref="AD3:AD13" si="7">IF(OR(Y3="",Z3=""),W3,(IF(OR(W3="",W3&lt;Y3,W3&gt;Z3),(Y3+Z3)/2,W3)))</f>
        <v>-6.8249999999999993</v>
      </c>
      <c r="AF3" s="7">
        <f t="shared" ref="AF3:AF13" si="8">IF(ISERROR(AC3),NA(),AC3)</f>
        <v>86.325000000000003</v>
      </c>
      <c r="AG3" s="7">
        <f t="shared" ref="AG3:AG13" si="9">IF(AD3="",NA(),AD3)</f>
        <v>-6.8249999999999993</v>
      </c>
      <c r="AH3" s="7" t="str">
        <f t="shared" ref="AH3:AH13" si="10">IF(P3="F","JAN",IF(P3="G","FEB",IF(P3="H","MAR",IF(P3="J","APR",IF(P3="K","MAY",IF(P3="M","JUN",IF(P3="N","JUL",IF(P3="Q","AUG",IF(P3="U","SEP",IF(P3="V","OCT",IF(P3="X","NOV",IF(P3="Z","DEC",))))))))))))</f>
        <v>APR</v>
      </c>
      <c r="AI3" s="7" t="str">
        <f>RIGHT(RTD("cqg.rtd", ,"ContractData",V3, "LongDescription"),6)</f>
        <v>y 2013</v>
      </c>
      <c r="AJ3" s="7">
        <f>RTD("cqg.rtd", ,"ContractData",Q3, "Settlement",,"T")</f>
        <v>86.125</v>
      </c>
      <c r="AK3" s="7">
        <f>RTD("cqg.rtd", ,"ContractData",V3, "Settlement",,"T")</f>
        <v>-7.05</v>
      </c>
      <c r="AL3" s="7">
        <f t="shared" ref="AL3:AL13" si="11">IF(AJ3="",NA(),AJ3)</f>
        <v>86.125</v>
      </c>
    </row>
    <row r="4" spans="1:38" x14ac:dyDescent="0.2">
      <c r="A4" s="6" t="str">
        <f t="shared" si="2"/>
        <v>HEK3</v>
      </c>
      <c r="B4" s="6" t="str">
        <f>RTD("cqg.rtd", ,"ContractData",A4, "ContractMonth")</f>
        <v>MAY</v>
      </c>
      <c r="C4" s="12" t="str">
        <f t="shared" si="3"/>
        <v>K</v>
      </c>
      <c r="D4" s="7" t="str">
        <f t="shared" si="4"/>
        <v>F.HES1K</v>
      </c>
      <c r="P4" s="8" t="str">
        <f t="shared" si="5"/>
        <v>K</v>
      </c>
      <c r="Q4" s="13" t="str">
        <f>RTD("cqg.rtd", ,"ContractData", $Q$1&amp;"?"&amp;R37, "Symbol")</f>
        <v>HEK3</v>
      </c>
      <c r="R4" s="11">
        <f>RTD("cqg.rtd", ,"ContractData", Q4, $R$1,,"T")</f>
        <v>93.2</v>
      </c>
      <c r="S4" s="11">
        <f>RTD("cqg.rtd", ,"ContractData", Q4,$S$1,,"T")</f>
        <v>93.25</v>
      </c>
      <c r="T4" s="11">
        <f>RTD("cqg.rtd", ,"ContractData", Q4,$T$1,,"T")</f>
        <v>93.375</v>
      </c>
      <c r="U4" s="11">
        <f>RTD("cqg.rtd", ,"ContractData",Q4, $U$1,,"T")</f>
        <v>-0.125</v>
      </c>
      <c r="V4" s="8" t="str">
        <f>F2</f>
        <v>F.HES3G</v>
      </c>
      <c r="W4" s="11">
        <f>RTD("cqg.rtd", ,"ContractData", V4, $W$1,,"T")</f>
        <v>-7.9</v>
      </c>
      <c r="X4" s="11">
        <f>RTD("cqg.rtd", ,"ContractData", V4, $X$1,,"T")</f>
        <v>0.05</v>
      </c>
      <c r="Y4" s="11">
        <f>RTD("cqg.rtd", ,"ContractData",V4,$Y$1,,"T")</f>
        <v>-8</v>
      </c>
      <c r="Z4" s="11">
        <f>RTD("cqg.rtd", ,"ContractData", V4,$Z$1,,"T")</f>
        <v>-7.9</v>
      </c>
      <c r="AA4" s="11">
        <f t="shared" si="6"/>
        <v>-7.9</v>
      </c>
      <c r="AB4" s="11">
        <f t="shared" si="1"/>
        <v>93.3125</v>
      </c>
      <c r="AC4" s="11">
        <f t="shared" ref="AC4:AC13" si="12">IF(OR(R4="",R4&lt;S4,R4&gt;T4),(S4+T4)/2,R4)</f>
        <v>93.3125</v>
      </c>
      <c r="AD4" s="11">
        <f t="shared" si="7"/>
        <v>-7.9</v>
      </c>
      <c r="AF4" s="7">
        <f t="shared" si="8"/>
        <v>93.3125</v>
      </c>
      <c r="AG4" s="7">
        <f t="shared" si="9"/>
        <v>-7.9</v>
      </c>
      <c r="AH4" s="7" t="str">
        <f t="shared" si="10"/>
        <v>MAY</v>
      </c>
      <c r="AI4" s="7" t="str">
        <f>RIGHT(RTD("cqg.rtd", ,"ContractData",V4, "LongDescription"),6)</f>
        <v>y 2013</v>
      </c>
      <c r="AJ4" s="7">
        <f>RTD("cqg.rtd", ,"ContractData",Q4, "Settlement",,"T")</f>
        <v>93.5</v>
      </c>
      <c r="AK4" s="7">
        <f>RTD("cqg.rtd", ,"ContractData",V4, "Settlement",,"T")</f>
        <v>-8.0500000000000007</v>
      </c>
      <c r="AL4" s="7">
        <f t="shared" si="11"/>
        <v>93.5</v>
      </c>
    </row>
    <row r="5" spans="1:38" x14ac:dyDescent="0.2">
      <c r="A5" s="6" t="str">
        <f t="shared" si="2"/>
        <v>HEM3</v>
      </c>
      <c r="B5" s="6" t="str">
        <f>RTD("cqg.rtd", ,"ContractData",A5, "ContractMonth")</f>
        <v>JUN</v>
      </c>
      <c r="C5" s="12" t="str">
        <f t="shared" si="3"/>
        <v>M</v>
      </c>
      <c r="D5" s="7" t="str">
        <f t="shared" si="4"/>
        <v>F.HES1M</v>
      </c>
      <c r="P5" s="8" t="str">
        <f t="shared" si="5"/>
        <v>M</v>
      </c>
      <c r="Q5" s="13" t="str">
        <f>RTD("cqg.rtd", ,"ContractData", $Q$1&amp;"?"&amp;R38, "Symbol")</f>
        <v>HEM3</v>
      </c>
      <c r="R5" s="11">
        <f>RTD("cqg.rtd", ,"ContractData", Q5, $R$1,,"T")</f>
        <v>94.525000000000006</v>
      </c>
      <c r="S5" s="11">
        <f>RTD("cqg.rtd", ,"ContractData", Q5,$S$1,,"T")</f>
        <v>94.474999999999994</v>
      </c>
      <c r="T5" s="11">
        <f>RTD("cqg.rtd", ,"ContractData", Q5,$T$1,,"T")</f>
        <v>94.525000000000006</v>
      </c>
      <c r="U5" s="11">
        <f>RTD("cqg.rtd", ,"ContractData",Q5, $U$1,,"T")</f>
        <v>-2.5000000000000001E-2</v>
      </c>
      <c r="V5" s="8" t="str">
        <f>G2</f>
        <v>F.HES4G</v>
      </c>
      <c r="W5" s="11" t="str">
        <f>RTD("cqg.rtd", ,"ContractData", V5, $W$1,,"T")</f>
        <v/>
      </c>
      <c r="X5" s="11">
        <f>RTD("cqg.rtd", ,"ContractData", V5, $X$1,,"T")</f>
        <v>0.05</v>
      </c>
      <c r="Y5" s="11">
        <f>RTD("cqg.rtd", ,"ContractData",V5,$Y$1,,"T")</f>
        <v>-7.6</v>
      </c>
      <c r="Z5" s="11">
        <f>RTD("cqg.rtd", ,"ContractData", V5,$Z$1,,"T")</f>
        <v>-7.5</v>
      </c>
      <c r="AA5" s="11">
        <f t="shared" si="6"/>
        <v>-7.55</v>
      </c>
      <c r="AB5" s="11">
        <f t="shared" si="1"/>
        <v>94.525000000000006</v>
      </c>
      <c r="AC5" s="11">
        <f t="shared" si="12"/>
        <v>94.525000000000006</v>
      </c>
      <c r="AD5" s="11">
        <f t="shared" si="7"/>
        <v>-7.55</v>
      </c>
      <c r="AF5" s="7">
        <f t="shared" si="8"/>
        <v>94.525000000000006</v>
      </c>
      <c r="AG5" s="7">
        <f t="shared" si="9"/>
        <v>-7.55</v>
      </c>
      <c r="AH5" s="7" t="str">
        <f t="shared" si="10"/>
        <v>JUN</v>
      </c>
      <c r="AI5" s="7" t="str">
        <f>RIGHT(RTD("cqg.rtd", ,"ContractData",V5, "LongDescription"),6)</f>
        <v>y 2013</v>
      </c>
      <c r="AJ5" s="7">
        <f>RTD("cqg.rtd", ,"ContractData",Q5, "Settlement",,"T")</f>
        <v>94.5</v>
      </c>
      <c r="AK5" s="7">
        <f>RTD("cqg.rtd", ,"ContractData",V5, "Settlement",,"T")</f>
        <v>-7.65</v>
      </c>
      <c r="AL5" s="7">
        <f t="shared" si="11"/>
        <v>94.5</v>
      </c>
    </row>
    <row r="6" spans="1:38" x14ac:dyDescent="0.2">
      <c r="A6" s="6" t="str">
        <f t="shared" si="2"/>
        <v>HEN3</v>
      </c>
      <c r="B6" s="6" t="str">
        <f>RTD("cqg.rtd", ,"ContractData",A6, "ContractMonth")</f>
        <v>JUL</v>
      </c>
      <c r="C6" s="12" t="str">
        <f t="shared" si="3"/>
        <v>N</v>
      </c>
      <c r="D6" s="7" t="str">
        <f t="shared" si="4"/>
        <v>F.HES1N</v>
      </c>
      <c r="P6" s="8" t="str">
        <f t="shared" si="5"/>
        <v>N</v>
      </c>
      <c r="Q6" s="13" t="str">
        <f>RTD("cqg.rtd", ,"ContractData", $Q$1&amp;"?"&amp;R39, "Symbol")</f>
        <v>HEN3</v>
      </c>
      <c r="R6" s="11">
        <f>RTD("cqg.rtd", ,"ContractData", Q6, $R$1,,"T")</f>
        <v>94.1</v>
      </c>
      <c r="S6" s="11">
        <f>RTD("cqg.rtd", ,"ContractData", Q6,$S$1,,"T")</f>
        <v>94.1</v>
      </c>
      <c r="T6" s="11">
        <f>RTD("cqg.rtd", ,"ContractData", Q6,$T$1,,"T")</f>
        <v>94.125</v>
      </c>
      <c r="U6" s="11">
        <f>RTD("cqg.rtd", ,"ContractData",Q6, $U$1,,"T")</f>
        <v>0</v>
      </c>
      <c r="V6" s="8" t="str">
        <f>H2</f>
        <v>F.HES5G</v>
      </c>
      <c r="W6" s="11" t="str">
        <f>RTD("cqg.rtd", ,"ContractData", V6, $W$1,,"T")</f>
        <v/>
      </c>
      <c r="X6" s="11">
        <f>RTD("cqg.rtd", ,"ContractData", V6, $X$1,,"T")</f>
        <v>0.17499999999999999</v>
      </c>
      <c r="Y6" s="11">
        <f>RTD("cqg.rtd", ,"ContractData",V6,$Y$1,,"T")</f>
        <v>-7.375</v>
      </c>
      <c r="Z6" s="11">
        <f>RTD("cqg.rtd", ,"ContractData", V6,$Z$1,,"T")</f>
        <v>-7.2249999999999996</v>
      </c>
      <c r="AA6" s="11">
        <f t="shared" si="6"/>
        <v>-7.3</v>
      </c>
      <c r="AB6" s="11">
        <f t="shared" si="1"/>
        <v>94.1</v>
      </c>
      <c r="AC6" s="11">
        <f t="shared" si="12"/>
        <v>94.1</v>
      </c>
      <c r="AD6" s="11">
        <f t="shared" si="7"/>
        <v>-7.3</v>
      </c>
      <c r="AF6" s="7">
        <f t="shared" si="8"/>
        <v>94.1</v>
      </c>
      <c r="AG6" s="7">
        <f t="shared" si="9"/>
        <v>-7.3</v>
      </c>
      <c r="AH6" s="7" t="str">
        <f t="shared" si="10"/>
        <v>JUL</v>
      </c>
      <c r="AI6" s="7" t="str">
        <f>RIGHT(RTD("cqg.rtd", ,"ContractData",V6, "LongDescription"),6)</f>
        <v>y 2013</v>
      </c>
      <c r="AJ6" s="7">
        <f>RTD("cqg.rtd", ,"ContractData",Q6, "Settlement",,"T")</f>
        <v>94.1</v>
      </c>
      <c r="AK6" s="7">
        <f>RTD("cqg.rtd", ,"ContractData",V6, "Settlement",,"T")</f>
        <v>-7.55</v>
      </c>
      <c r="AL6" s="7">
        <f t="shared" si="11"/>
        <v>94.1</v>
      </c>
    </row>
    <row r="7" spans="1:38" x14ac:dyDescent="0.2">
      <c r="A7" s="6" t="str">
        <f t="shared" si="2"/>
        <v>HEQ3</v>
      </c>
      <c r="B7" s="6" t="str">
        <f>RTD("cqg.rtd", ,"ContractData",A7, "ContractMonth")</f>
        <v>AUG</v>
      </c>
      <c r="C7" s="12" t="str">
        <f t="shared" si="3"/>
        <v>Q</v>
      </c>
      <c r="D7" s="7" t="str">
        <f t="shared" si="4"/>
        <v>F.HES1Q</v>
      </c>
      <c r="P7" s="8" t="str">
        <f t="shared" si="5"/>
        <v>Q</v>
      </c>
      <c r="Q7" s="13" t="str">
        <f>RTD("cqg.rtd", ,"ContractData", $Q$1&amp;"?"&amp;R40, "Symbol")</f>
        <v>HEQ3</v>
      </c>
      <c r="R7" s="11">
        <f>RTD("cqg.rtd", ,"ContractData", Q7, $R$1,,"T")</f>
        <v>93.9</v>
      </c>
      <c r="S7" s="11">
        <f>RTD("cqg.rtd", ,"ContractData", Q7,$S$1,,"T")</f>
        <v>93.825000000000003</v>
      </c>
      <c r="T7" s="11">
        <f>RTD("cqg.rtd", ,"ContractData", Q7,$T$1,,"T")</f>
        <v>93.9</v>
      </c>
      <c r="U7" s="11">
        <f>RTD("cqg.rtd", ,"ContractData",Q7, $U$1,,"T")</f>
        <v>-0.17499999999999999</v>
      </c>
      <c r="V7" s="8" t="str">
        <f>I2</f>
        <v>F.HES6G</v>
      </c>
      <c r="W7" s="11">
        <f>RTD("cqg.rtd", ,"ContractData", V7, $W$1,,"T")</f>
        <v>1.65</v>
      </c>
      <c r="X7" s="11">
        <f>RTD("cqg.rtd", ,"ContractData", V7, $X$1,,"T")</f>
        <v>0.52500000000000002</v>
      </c>
      <c r="Y7" s="11">
        <f>RTD("cqg.rtd", ,"ContractData",V7,$Y$1,,"T")</f>
        <v>1.55</v>
      </c>
      <c r="Z7" s="11">
        <f>RTD("cqg.rtd", ,"ContractData", V7,$Z$1,,"T")</f>
        <v>1.75</v>
      </c>
      <c r="AA7" s="11">
        <f t="shared" si="6"/>
        <v>1.65</v>
      </c>
      <c r="AB7" s="11">
        <f t="shared" si="1"/>
        <v>93.9</v>
      </c>
      <c r="AC7" s="11">
        <f t="shared" si="12"/>
        <v>93.9</v>
      </c>
      <c r="AD7" s="11">
        <f t="shared" si="7"/>
        <v>1.65</v>
      </c>
      <c r="AF7" s="7">
        <f t="shared" si="8"/>
        <v>93.9</v>
      </c>
      <c r="AG7" s="7">
        <f t="shared" si="9"/>
        <v>1.65</v>
      </c>
      <c r="AH7" s="7" t="str">
        <f t="shared" si="10"/>
        <v>AUG</v>
      </c>
      <c r="AI7" s="7" t="str">
        <f>RIGHT(RTD("cqg.rtd", ,"ContractData",V7, "LongDescription"),6)</f>
        <v>y 2013</v>
      </c>
      <c r="AJ7" s="7">
        <f>RTD("cqg.rtd", ,"ContractData",Q7, "Settlement",,"T")</f>
        <v>94</v>
      </c>
      <c r="AK7" s="7">
        <f>RTD("cqg.rtd", ,"ContractData",V7, "Settlement",,"T")</f>
        <v>1.0249999999999999</v>
      </c>
      <c r="AL7" s="7">
        <f t="shared" si="11"/>
        <v>94</v>
      </c>
    </row>
    <row r="8" spans="1:38" x14ac:dyDescent="0.2">
      <c r="A8" s="6" t="str">
        <f t="shared" si="2"/>
        <v>HEV3</v>
      </c>
      <c r="B8" s="6" t="str">
        <f>RTD("cqg.rtd", ,"ContractData",A8, "ContractMonth")</f>
        <v>OCT</v>
      </c>
      <c r="C8" s="12" t="str">
        <f t="shared" si="3"/>
        <v>V</v>
      </c>
      <c r="D8" s="7" t="str">
        <f t="shared" si="4"/>
        <v>F.HES1V</v>
      </c>
      <c r="P8" s="8" t="str">
        <f t="shared" si="5"/>
        <v>V</v>
      </c>
      <c r="Q8" s="13" t="str">
        <f>RTD("cqg.rtd", ,"ContractData", $Q$1&amp;"?"&amp;R41, "Symbol")</f>
        <v>HEV3</v>
      </c>
      <c r="R8" s="11">
        <f>RTD("cqg.rtd", ,"ContractData", Q8, $R$1,,"T")</f>
        <v>84.875</v>
      </c>
      <c r="S8" s="11">
        <f>RTD("cqg.rtd", ,"ContractData", Q8,$S$1,,"T")</f>
        <v>84.825000000000003</v>
      </c>
      <c r="T8" s="11">
        <f>RTD("cqg.rtd", ,"ContractData", Q8,$T$1,,"T")</f>
        <v>84.974999999999994</v>
      </c>
      <c r="U8" s="11">
        <f>RTD("cqg.rtd", ,"ContractData",Q8, $U$1,,"T")</f>
        <v>-0.55000000000000004</v>
      </c>
      <c r="V8" s="8" t="str">
        <f>J2</f>
        <v>F.HES7G</v>
      </c>
      <c r="W8" s="11" t="str">
        <f>RTD("cqg.rtd", ,"ContractData", V8, $W$1,,"T")</f>
        <v/>
      </c>
      <c r="X8" s="11">
        <f>RTD("cqg.rtd", ,"ContractData", V8, $X$1,,"T")</f>
        <v>0.42499999999999999</v>
      </c>
      <c r="Y8" s="11">
        <f>RTD("cqg.rtd", ,"ContractData",V8,$Y$1,,"T")</f>
        <v>4.7750000000000004</v>
      </c>
      <c r="Z8" s="11">
        <f>RTD("cqg.rtd", ,"ContractData", V8,$Z$1,,"T")</f>
        <v>4.95</v>
      </c>
      <c r="AA8" s="11">
        <f t="shared" si="6"/>
        <v>4.8625000000000007</v>
      </c>
      <c r="AB8" s="11">
        <f t="shared" ref="AB8:AB13" si="13">IF(OR(S8="",T8=""),R8,(IF(OR(R8="",R8&lt;S8,R8&gt;T8),(S8+T8)/2,R8)))</f>
        <v>84.875</v>
      </c>
      <c r="AC8" s="11">
        <f t="shared" si="12"/>
        <v>84.875</v>
      </c>
      <c r="AD8" s="11">
        <f t="shared" si="7"/>
        <v>4.8625000000000007</v>
      </c>
      <c r="AF8" s="7">
        <f t="shared" si="8"/>
        <v>84.875</v>
      </c>
      <c r="AG8" s="7">
        <f t="shared" si="9"/>
        <v>4.8625000000000007</v>
      </c>
      <c r="AH8" s="7" t="str">
        <f t="shared" si="10"/>
        <v>OCT</v>
      </c>
      <c r="AI8" s="7" t="str">
        <f>RIGHT(RTD("cqg.rtd", ,"ContractData",V8, "LongDescription"),6)</f>
        <v>y 2013</v>
      </c>
      <c r="AJ8" s="7">
        <f>RTD("cqg.rtd", ,"ContractData",Q8, "Settlement",,"T")</f>
        <v>85.424999999999997</v>
      </c>
      <c r="AK8" s="7">
        <f>RTD("cqg.rtd", ,"ContractData",V8, "Settlement",,"T")</f>
        <v>4.3499999999999996</v>
      </c>
      <c r="AL8" s="7">
        <f t="shared" si="11"/>
        <v>85.424999999999997</v>
      </c>
    </row>
    <row r="9" spans="1:38" x14ac:dyDescent="0.2">
      <c r="A9" s="6" t="str">
        <f t="shared" si="2"/>
        <v>HEZ3</v>
      </c>
      <c r="B9" s="6" t="str">
        <f>RTD("cqg.rtd", ,"ContractData",A9, "ContractMonth")</f>
        <v>DEC</v>
      </c>
      <c r="C9" s="12" t="str">
        <f t="shared" si="3"/>
        <v>Z</v>
      </c>
      <c r="D9" s="7" t="str">
        <f t="shared" si="4"/>
        <v>F.HES1Z</v>
      </c>
      <c r="P9" s="8" t="str">
        <f t="shared" si="5"/>
        <v>Z</v>
      </c>
      <c r="Q9" s="13" t="str">
        <f>RTD("cqg.rtd", ,"ContractData", $Q$1&amp;"?"&amp;R42, "Symbol")</f>
        <v>HEZ3</v>
      </c>
      <c r="R9" s="11">
        <f>RTD("cqg.rtd", ,"ContractData", Q9, $R$1,,"T")</f>
        <v>81.8</v>
      </c>
      <c r="S9" s="11">
        <f>RTD("cqg.rtd", ,"ContractData", Q9,$S$1,,"T")</f>
        <v>81.625</v>
      </c>
      <c r="T9" s="11">
        <f>RTD("cqg.rtd", ,"ContractData", Q9,$T$1,,"T")</f>
        <v>81.75</v>
      </c>
      <c r="U9" s="11">
        <f>RTD("cqg.rtd", ,"ContractData",Q9, $U$1,,"T")</f>
        <v>-0.47499999999999998</v>
      </c>
      <c r="V9" s="8" t="str">
        <f>K2</f>
        <v>F.HES8G</v>
      </c>
      <c r="W9" s="11" t="str">
        <f>RTD("cqg.rtd", ,"ContractData", V9, $W$1,,"T")</f>
        <v/>
      </c>
      <c r="X9" s="11">
        <f>RTD("cqg.rtd", ,"ContractData", V9, $X$1,,"T")</f>
        <v>0.8</v>
      </c>
      <c r="Y9" s="11">
        <f>RTD("cqg.rtd", ,"ContractData",V9,$Y$1,,"T")</f>
        <v>3.2250000000000001</v>
      </c>
      <c r="Z9" s="11">
        <f>RTD("cqg.rtd", ,"ContractData", V9,$Z$1,,"T")</f>
        <v>3.5249999999999999</v>
      </c>
      <c r="AA9" s="11">
        <f t="shared" si="6"/>
        <v>3.375</v>
      </c>
      <c r="AB9" s="11">
        <f t="shared" si="13"/>
        <v>81.6875</v>
      </c>
      <c r="AC9" s="11">
        <f t="shared" si="12"/>
        <v>81.6875</v>
      </c>
      <c r="AD9" s="11">
        <f t="shared" si="7"/>
        <v>3.375</v>
      </c>
      <c r="AF9" s="7">
        <f t="shared" si="8"/>
        <v>81.6875</v>
      </c>
      <c r="AG9" s="7">
        <f t="shared" si="9"/>
        <v>3.375</v>
      </c>
      <c r="AH9" s="7" t="str">
        <f t="shared" si="10"/>
        <v>DEC</v>
      </c>
      <c r="AI9" s="7" t="str">
        <f>RIGHT(RTD("cqg.rtd", ,"ContractData",V9, "LongDescription"),6)</f>
        <v>y 2013</v>
      </c>
      <c r="AJ9" s="7">
        <f>RTD("cqg.rtd", ,"ContractData",Q9, "Settlement",,"T")</f>
        <v>82.1</v>
      </c>
      <c r="AK9" s="7">
        <f>RTD("cqg.rtd", ,"ContractData",V9, "Settlement",,"T")</f>
        <v>2.8</v>
      </c>
      <c r="AL9" s="7">
        <f t="shared" si="11"/>
        <v>82.1</v>
      </c>
    </row>
    <row r="10" spans="1:38" x14ac:dyDescent="0.2">
      <c r="A10" s="6" t="str">
        <f t="shared" si="2"/>
        <v>HEG4</v>
      </c>
      <c r="B10" s="6" t="str">
        <f>RTD("cqg.rtd", ,"ContractData",A10, "ContractMonth")</f>
        <v>FEB</v>
      </c>
      <c r="C10" s="12" t="str">
        <f t="shared" si="3"/>
        <v>G</v>
      </c>
      <c r="D10" s="7" t="str">
        <f t="shared" si="4"/>
        <v>F.HES1G</v>
      </c>
      <c r="P10" s="8" t="str">
        <f t="shared" si="5"/>
        <v>G</v>
      </c>
      <c r="Q10" s="13" t="str">
        <f>RTD("cqg.rtd", ,"ContractData", $Q$1&amp;"?"&amp;R43, "Symbol")</f>
        <v>HEG4</v>
      </c>
      <c r="R10" s="11">
        <f>RTD("cqg.rtd", ,"ContractData", Q10, $R$1,,"T")</f>
        <v>83.3</v>
      </c>
      <c r="S10" s="11">
        <f>RTD("cqg.rtd", ,"ContractData", Q10,$S$1,,"T")</f>
        <v>83.1</v>
      </c>
      <c r="T10" s="11">
        <f>RTD("cqg.rtd", ,"ContractData", Q10,$T$1,,"T")</f>
        <v>83.25</v>
      </c>
      <c r="U10" s="11">
        <f>RTD("cqg.rtd", ,"ContractData",Q10, $U$1,,"T")</f>
        <v>-0.4</v>
      </c>
      <c r="V10" s="8" t="str">
        <f>L2</f>
        <v>F.HES9G</v>
      </c>
      <c r="W10" s="11" t="str">
        <f>RTD("cqg.rtd", ,"ContractData", V10, $W$1,,"T")</f>
        <v>295: F.HES9G could not be resolved.</v>
      </c>
      <c r="X10" s="11" t="str">
        <f>RTD("cqg.rtd", ,"ContractData", V10, $X$1,,"T")</f>
        <v>295: F.HES9G could not be resolved.</v>
      </c>
      <c r="Y10" s="11" t="str">
        <f>RTD("cqg.rtd", ,"ContractData",V10,$Y$1,,"T")</f>
        <v>295: F.HES9G could not be resolved.</v>
      </c>
      <c r="Z10" s="11" t="str">
        <f>RTD("cqg.rtd", ,"ContractData", V10,$Z$1,,"T")</f>
        <v>295: F.HES9G could not be resolved.</v>
      </c>
      <c r="AA10" s="11" t="str">
        <f t="shared" si="6"/>
        <v>295: F.HES9G could not be resolved.</v>
      </c>
      <c r="AB10" s="11">
        <f t="shared" si="13"/>
        <v>83.174999999999997</v>
      </c>
      <c r="AC10" s="11">
        <f t="shared" si="12"/>
        <v>83.174999999999997</v>
      </c>
      <c r="AD10" s="11" t="str">
        <f t="shared" si="7"/>
        <v>295: F.HES9G could not be resolved.</v>
      </c>
      <c r="AF10" s="7">
        <f t="shared" si="8"/>
        <v>83.174999999999997</v>
      </c>
      <c r="AG10" s="7" t="str">
        <f t="shared" si="9"/>
        <v>295: F.HES9G could not be resolved.</v>
      </c>
      <c r="AH10" s="7" t="str">
        <f t="shared" si="10"/>
        <v>FEB</v>
      </c>
      <c r="AI10" s="7" t="str">
        <f>RIGHT(RTD("cqg.rtd", ,"ContractData",V10, "LongDescription"),6)</f>
        <v>olved.</v>
      </c>
      <c r="AJ10" s="7">
        <f>RTD("cqg.rtd", ,"ContractData",Q10, "Settlement",,"T")</f>
        <v>83.65</v>
      </c>
      <c r="AK10" s="7" t="str">
        <f>RTD("cqg.rtd", ,"ContractData",V10, "Settlement",,"T")</f>
        <v>295: F.HES9G could not be resolved.</v>
      </c>
      <c r="AL10" s="7">
        <f t="shared" si="11"/>
        <v>83.65</v>
      </c>
    </row>
    <row r="11" spans="1:38" x14ac:dyDescent="0.2">
      <c r="A11" s="6" t="str">
        <f t="shared" si="2"/>
        <v>HEJ4</v>
      </c>
      <c r="B11" s="6" t="str">
        <f>RTD("cqg.rtd", ,"ContractData",A11, "ContractMonth")</f>
        <v>APR</v>
      </c>
      <c r="C11" s="12" t="str">
        <f t="shared" si="3"/>
        <v>J</v>
      </c>
      <c r="D11" s="7" t="str">
        <f t="shared" si="4"/>
        <v>F.HES1J</v>
      </c>
      <c r="P11" s="8" t="str">
        <f t="shared" si="5"/>
        <v>J</v>
      </c>
      <c r="Q11" s="13" t="str">
        <f>RTD("cqg.rtd", ,"ContractData", $Q$1&amp;"?"&amp;R44, "Symbol")</f>
        <v>HEJ4</v>
      </c>
      <c r="R11" s="11">
        <f>RTD("cqg.rtd", ,"ContractData", Q11, $R$1,,"T")</f>
        <v>84.724999999999994</v>
      </c>
      <c r="S11" s="11">
        <f>RTD("cqg.rtd", ,"ContractData", Q11,$S$1,,"T")</f>
        <v>84.5</v>
      </c>
      <c r="T11" s="11">
        <f>RTD("cqg.rtd", ,"ContractData", Q11,$T$1,,"T")</f>
        <v>84.724999999999994</v>
      </c>
      <c r="U11" s="11">
        <f>RTD("cqg.rtd", ,"ContractData",Q11, $U$1,,"T")</f>
        <v>-0.57499999999999996</v>
      </c>
      <c r="V11" s="8" t="str">
        <f>M2</f>
        <v>F.HES10G</v>
      </c>
      <c r="W11" s="11" t="str">
        <f>RTD("cqg.rtd", ,"ContractData", V11, $W$1,,"T")</f>
        <v>295: F.HES10G could not be resolved.</v>
      </c>
      <c r="X11" s="11" t="str">
        <f>RTD("cqg.rtd", ,"ContractData", V11, $X$1,,"T")</f>
        <v>295: F.HES10G could not be resolved.</v>
      </c>
      <c r="Y11" s="11" t="str">
        <f>RTD("cqg.rtd", ,"ContractData",V11,$Y$1,,"T")</f>
        <v>295: F.HES10G could not be resolved.</v>
      </c>
      <c r="Z11" s="11" t="str">
        <f>RTD("cqg.rtd", ,"ContractData", V11,$Z$1,,"T")</f>
        <v>295: F.HES10G could not be resolved.</v>
      </c>
      <c r="AA11" s="11" t="str">
        <f t="shared" si="6"/>
        <v>295: F.HES10G could not be resolved.</v>
      </c>
      <c r="AB11" s="11">
        <f t="shared" si="13"/>
        <v>84.724999999999994</v>
      </c>
      <c r="AC11" s="11">
        <f t="shared" si="12"/>
        <v>84.724999999999994</v>
      </c>
      <c r="AD11" s="11" t="str">
        <f t="shared" si="7"/>
        <v>295: F.HES10G could not be resolved.</v>
      </c>
      <c r="AF11" s="7">
        <f t="shared" si="8"/>
        <v>84.724999999999994</v>
      </c>
      <c r="AG11" s="7" t="str">
        <f t="shared" si="9"/>
        <v>295: F.HES10G could not be resolved.</v>
      </c>
      <c r="AH11" s="7" t="str">
        <f t="shared" si="10"/>
        <v>APR</v>
      </c>
      <c r="AI11" s="7" t="str">
        <f>RIGHT(RTD("cqg.rtd", ,"ContractData",V11, "LongDescription"),6)</f>
        <v>olved.</v>
      </c>
      <c r="AJ11" s="7">
        <f>RTD("cqg.rtd", ,"ContractData",Q11, "Settlement",,"T")</f>
        <v>85.3</v>
      </c>
      <c r="AK11" s="7" t="str">
        <f>RTD("cqg.rtd", ,"ContractData",V11, "Settlement",,"T")</f>
        <v>295: F.HES10G could not be resolved.</v>
      </c>
      <c r="AL11" s="7">
        <f t="shared" si="11"/>
        <v>85.3</v>
      </c>
    </row>
    <row r="12" spans="1:38" x14ac:dyDescent="0.2">
      <c r="A12" s="6" t="str">
        <f t="shared" si="2"/>
        <v>HEK4</v>
      </c>
      <c r="B12" s="6" t="str">
        <f>RTD("cqg.rtd", ,"ContractData",A12, "ContractMonth")</f>
        <v>MAY</v>
      </c>
      <c r="C12" s="12" t="str">
        <f t="shared" si="3"/>
        <v>K</v>
      </c>
      <c r="D12" s="7" t="str">
        <f t="shared" si="4"/>
        <v>F.HES1K</v>
      </c>
      <c r="P12" s="8" t="str">
        <f t="shared" si="5"/>
        <v>K</v>
      </c>
      <c r="Q12" s="13" t="str">
        <f>RTD("cqg.rtd", ,"ContractData", $Q$1&amp;"?"&amp;R45, "Symbol")</f>
        <v>HEK4</v>
      </c>
      <c r="R12" s="11" t="str">
        <f>RTD("cqg.rtd", ,"ContractData", Q12, $R$1,,"T")</f>
        <v/>
      </c>
      <c r="S12" s="11">
        <f>RTD("cqg.rtd", ,"ContractData", Q12,$S$1,,"T")</f>
        <v>89.7</v>
      </c>
      <c r="T12" s="11">
        <f>RTD("cqg.rtd", ,"ContractData", Q12,$T$1,,"T")</f>
        <v>90.325000000000003</v>
      </c>
      <c r="U12" s="11">
        <f>RTD("cqg.rtd", ,"ContractData",Q12, $U$1,,"T")</f>
        <v>-0.42499999999999999</v>
      </c>
      <c r="V12" s="8" t="str">
        <f>N2</f>
        <v>F.HES11G</v>
      </c>
      <c r="W12" s="11" t="str">
        <f>RTD("cqg.rtd", ,"ContractData", V12, $W$1,,"T")</f>
        <v>295: F.HES11G could not be resolved.</v>
      </c>
      <c r="X12" s="11" t="str">
        <f>RTD("cqg.rtd", ,"ContractData", V12, $X$1,,"T")</f>
        <v>295: F.HES11G could not be resolved.</v>
      </c>
      <c r="Y12" s="11" t="str">
        <f>RTD("cqg.rtd", ,"ContractData",V12,$Y$1,,"T")</f>
        <v>295: F.HES11G could not be resolved.</v>
      </c>
      <c r="Z12" s="11" t="str">
        <f>RTD("cqg.rtd", ,"ContractData", V12,$Z$1,,"T")</f>
        <v>295: F.HES11G could not be resolved.</v>
      </c>
      <c r="AA12" s="11" t="str">
        <f t="shared" si="6"/>
        <v>295: F.HES11G could not be resolved.</v>
      </c>
      <c r="AB12" s="11">
        <f t="shared" si="13"/>
        <v>90.012500000000003</v>
      </c>
      <c r="AC12" s="11">
        <f t="shared" si="12"/>
        <v>90.012500000000003</v>
      </c>
      <c r="AD12" s="11" t="str">
        <f t="shared" si="7"/>
        <v>295: F.HES11G could not be resolved.</v>
      </c>
      <c r="AF12" s="7">
        <f t="shared" si="8"/>
        <v>90.012500000000003</v>
      </c>
      <c r="AG12" s="7" t="str">
        <f t="shared" si="9"/>
        <v>295: F.HES11G could not be resolved.</v>
      </c>
      <c r="AH12" s="7" t="str">
        <f t="shared" si="10"/>
        <v>MAY</v>
      </c>
      <c r="AI12" s="7" t="str">
        <f>RIGHT(RTD("cqg.rtd", ,"ContractData",V12, "LongDescription"),6)</f>
        <v>olved.</v>
      </c>
      <c r="AJ12" s="7">
        <f>RTD("cqg.rtd", ,"ContractData",Q12, "Settlement",,"T")</f>
        <v>90.75</v>
      </c>
      <c r="AK12" s="7" t="str">
        <f>RTD("cqg.rtd", ,"ContractData",V12, "Settlement",,"T")</f>
        <v>295: F.HES11G could not be resolved.</v>
      </c>
      <c r="AL12" s="7">
        <f t="shared" si="11"/>
        <v>90.75</v>
      </c>
    </row>
    <row r="13" spans="1:38" x14ac:dyDescent="0.2">
      <c r="A13" s="6" t="str">
        <f t="shared" si="2"/>
        <v>HEM4</v>
      </c>
      <c r="B13" s="6" t="str">
        <f>RTD("cqg.rtd", ,"ContractData",A13, "ContractMonth")</f>
        <v>JUN</v>
      </c>
      <c r="C13" s="12" t="str">
        <f t="shared" si="3"/>
        <v>M</v>
      </c>
      <c r="D13" s="7" t="str">
        <f t="shared" si="4"/>
        <v>F.HES1M</v>
      </c>
      <c r="P13" s="8" t="str">
        <f t="shared" si="5"/>
        <v>M</v>
      </c>
      <c r="Q13" s="13" t="str">
        <f>RTD("cqg.rtd", ,"ContractData", $Q$1&amp;"?"&amp;R46, "Symbol")</f>
        <v>HEM4</v>
      </c>
      <c r="R13" s="11">
        <f>RTD("cqg.rtd", ,"ContractData", Q13, $R$1,,"T")</f>
        <v>91.7</v>
      </c>
      <c r="S13" s="11">
        <f>RTD("cqg.rtd", ,"ContractData", Q13,$S$1,,"T")</f>
        <v>91.6</v>
      </c>
      <c r="T13" s="11">
        <f>RTD("cqg.rtd", ,"ContractData", Q13,$T$1,,"T")</f>
        <v>91.75</v>
      </c>
      <c r="U13" s="11">
        <f>RTD("cqg.rtd", ,"ContractData",Q13, $U$1,,"T")</f>
        <v>-0.7</v>
      </c>
      <c r="V13" s="8" t="str">
        <f>O2</f>
        <v>F.HES12G</v>
      </c>
      <c r="W13" s="11" t="str">
        <f>RTD("cqg.rtd", ,"ContractData", V13, $W$1,,"T")</f>
        <v>295: F.HES12G could not be resolved.</v>
      </c>
      <c r="X13" s="11" t="str">
        <f>RTD("cqg.rtd", ,"ContractData", V13, $X$1,,"T")</f>
        <v>295: F.HES12G could not be resolved.</v>
      </c>
      <c r="Y13" s="11" t="str">
        <f>RTD("cqg.rtd", ,"ContractData",V13,$Y$1,,"T")</f>
        <v>295: F.HES12G could not be resolved.</v>
      </c>
      <c r="Z13" s="11" t="str">
        <f>RTD("cqg.rtd", ,"ContractData", V13,$Z$1,,"T")</f>
        <v>295: F.HES12G could not be resolved.</v>
      </c>
      <c r="AA13" s="11" t="str">
        <f t="shared" si="6"/>
        <v>295: F.HES12G could not be resolved.</v>
      </c>
      <c r="AB13" s="11">
        <f t="shared" si="13"/>
        <v>91.7</v>
      </c>
      <c r="AC13" s="11">
        <f t="shared" si="12"/>
        <v>91.7</v>
      </c>
      <c r="AD13" s="11" t="str">
        <f t="shared" si="7"/>
        <v>295: F.HES12G could not be resolved.</v>
      </c>
      <c r="AF13" s="7">
        <f t="shared" si="8"/>
        <v>91.7</v>
      </c>
      <c r="AG13" s="7" t="str">
        <f t="shared" si="9"/>
        <v>295: F.HES12G could not be resolved.</v>
      </c>
      <c r="AH13" s="7" t="str">
        <f t="shared" si="10"/>
        <v>JUN</v>
      </c>
      <c r="AI13" s="7" t="str">
        <f>RIGHT(RTD("cqg.rtd", ,"ContractData",V13, "LongDescription"),6)</f>
        <v>olved.</v>
      </c>
      <c r="AJ13" s="7">
        <f>RTD("cqg.rtd", ,"ContractData",Q13, "Settlement",,"T")</f>
        <v>92.3</v>
      </c>
      <c r="AK13" s="7" t="str">
        <f>RTD("cqg.rtd", ,"ContractData",V13, "Settlement",,"T")</f>
        <v>295: F.HES12G could not be resolved.</v>
      </c>
      <c r="AL13" s="7">
        <f t="shared" si="11"/>
        <v>92.3</v>
      </c>
    </row>
    <row r="14" spans="1:38" x14ac:dyDescent="0.2"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8" x14ac:dyDescent="0.2">
      <c r="P15" s="8"/>
      <c r="Q15" s="8"/>
      <c r="R15" s="8"/>
      <c r="S15" s="8"/>
      <c r="T15" s="8"/>
      <c r="U15" s="8"/>
    </row>
    <row r="17" spans="21:29" x14ac:dyDescent="0.2">
      <c r="AB17" s="14"/>
      <c r="AC17" s="14"/>
    </row>
    <row r="18" spans="21:29" x14ac:dyDescent="0.2">
      <c r="AB18" s="14"/>
      <c r="AC18" s="14"/>
    </row>
    <row r="19" spans="21:29" x14ac:dyDescent="0.2">
      <c r="AB19" s="14"/>
      <c r="AC19" s="14"/>
    </row>
    <row r="20" spans="21:29" x14ac:dyDescent="0.2">
      <c r="U20" s="15"/>
      <c r="AB20" s="14"/>
      <c r="AC20" s="14"/>
    </row>
    <row r="21" spans="21:29" x14ac:dyDescent="0.2">
      <c r="AB21" s="14"/>
      <c r="AC21" s="14"/>
    </row>
    <row r="22" spans="21:29" x14ac:dyDescent="0.2">
      <c r="AB22" s="14"/>
      <c r="AC22" s="14"/>
    </row>
    <row r="23" spans="21:29" x14ac:dyDescent="0.2">
      <c r="AB23" s="14"/>
      <c r="AC23" s="14"/>
    </row>
    <row r="24" spans="21:29" x14ac:dyDescent="0.2">
      <c r="AB24" s="14"/>
      <c r="AC24" s="14"/>
    </row>
    <row r="34" spans="18:19" x14ac:dyDescent="0.2">
      <c r="R34" s="7" t="s">
        <v>6</v>
      </c>
    </row>
    <row r="35" spans="18:19" x14ac:dyDescent="0.2">
      <c r="R35" s="7">
        <v>1</v>
      </c>
      <c r="S35" s="7" t="str">
        <f>RTD("cqg.rtd",,"ContractData",Q1&amp;"?1", "Symbol")</f>
        <v>HEG3</v>
      </c>
    </row>
    <row r="36" spans="18:19" x14ac:dyDescent="0.2">
      <c r="R36" s="7">
        <f>R35+1</f>
        <v>2</v>
      </c>
      <c r="S36" s="7" t="str">
        <f>RTD("cqg.rtd",,"ContractData",Q1&amp;"?2", "Symbol")</f>
        <v>HEJ3</v>
      </c>
    </row>
    <row r="37" spans="18:19" x14ac:dyDescent="0.2">
      <c r="R37" s="7">
        <f t="shared" ref="R37:R46" si="14">R36+1</f>
        <v>3</v>
      </c>
    </row>
    <row r="38" spans="18:19" x14ac:dyDescent="0.2">
      <c r="R38" s="7">
        <f t="shared" si="14"/>
        <v>4</v>
      </c>
    </row>
    <row r="39" spans="18:19" x14ac:dyDescent="0.2">
      <c r="R39" s="7">
        <f t="shared" si="14"/>
        <v>5</v>
      </c>
    </row>
    <row r="40" spans="18:19" x14ac:dyDescent="0.2">
      <c r="R40" s="7">
        <f t="shared" si="14"/>
        <v>6</v>
      </c>
    </row>
    <row r="41" spans="18:19" x14ac:dyDescent="0.2">
      <c r="R41" s="7">
        <f t="shared" si="14"/>
        <v>7</v>
      </c>
    </row>
    <row r="42" spans="18:19" x14ac:dyDescent="0.2">
      <c r="R42" s="7">
        <f t="shared" si="14"/>
        <v>8</v>
      </c>
    </row>
    <row r="43" spans="18:19" x14ac:dyDescent="0.2">
      <c r="R43" s="7">
        <f t="shared" si="14"/>
        <v>9</v>
      </c>
    </row>
    <row r="44" spans="18:19" x14ac:dyDescent="0.2">
      <c r="R44" s="7">
        <f t="shared" si="14"/>
        <v>10</v>
      </c>
    </row>
    <row r="45" spans="18:19" x14ac:dyDescent="0.2">
      <c r="R45" s="7">
        <f t="shared" si="14"/>
        <v>11</v>
      </c>
    </row>
    <row r="46" spans="18:19" x14ac:dyDescent="0.2">
      <c r="R46" s="7">
        <f t="shared" si="14"/>
        <v>12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GLE</vt:lpstr>
      <vt:lpstr>GF</vt:lpstr>
      <vt:lpstr>HE</vt:lpstr>
      <vt:lpstr>Sheet1</vt:lpstr>
    </vt:vector>
  </TitlesOfParts>
  <Company>CQG,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2013-02-11T18:24:55Z</dcterms:modified>
</cp:coreProperties>
</file>