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showHorizontalScroll="0" showVerticalScroll="0" showSheetTabs="0" xWindow="0" yWindow="0" windowWidth="28800" windowHeight="15870"/>
  </bookViews>
  <sheets>
    <sheet name="All Contracts" sheetId="1" r:id="rId1"/>
  </sheets>
  <calcPr calcId="162913"/>
</workbook>
</file>

<file path=xl/calcChain.xml><?xml version="1.0" encoding="utf-8"?>
<calcChain xmlns="http://schemas.openxmlformats.org/spreadsheetml/2006/main">
  <c r="C39" i="1" l="1"/>
  <c r="R5" i="1" l="1"/>
  <c r="A1" i="1"/>
  <c r="H11" i="1"/>
  <c r="L21" i="1"/>
  <c r="P22" i="1"/>
  <c r="H14" i="1"/>
  <c r="B14" i="1"/>
  <c r="L28" i="1"/>
  <c r="P9" i="1"/>
  <c r="H7" i="1"/>
  <c r="B34" i="1"/>
  <c r="P6" i="1"/>
  <c r="H12" i="1"/>
  <c r="Z19" i="1"/>
  <c r="L24" i="1"/>
  <c r="K27" i="1"/>
  <c r="L26" i="1"/>
  <c r="K26" i="1"/>
  <c r="P11" i="1"/>
  <c r="K14" i="1"/>
  <c r="B32" i="1"/>
  <c r="N14" i="1"/>
  <c r="K13" i="1"/>
  <c r="L9" i="1"/>
  <c r="H9" i="1"/>
  <c r="N32" i="1"/>
  <c r="K31" i="1"/>
  <c r="B16" i="1"/>
  <c r="N12" i="1"/>
  <c r="B6" i="1"/>
  <c r="L34" i="1"/>
  <c r="B13" i="1"/>
  <c r="N26" i="1"/>
  <c r="P31" i="1"/>
  <c r="AC61" i="1"/>
  <c r="B8" i="1"/>
  <c r="E2" i="1"/>
  <c r="K17" i="1"/>
  <c r="Z21" i="1"/>
  <c r="K16" i="1"/>
  <c r="L8" i="1"/>
  <c r="L12" i="1"/>
  <c r="B33" i="1"/>
  <c r="L6" i="1"/>
  <c r="N11" i="1"/>
  <c r="B7" i="1"/>
  <c r="K21" i="1"/>
  <c r="L17" i="1"/>
  <c r="N6" i="1"/>
  <c r="B22" i="1"/>
  <c r="K28" i="1"/>
  <c r="B26" i="1"/>
  <c r="Z34" i="1"/>
  <c r="Y37" i="1"/>
  <c r="B35" i="1"/>
  <c r="D1" i="1"/>
  <c r="L31" i="1"/>
  <c r="Z26" i="1"/>
  <c r="F1" i="1"/>
  <c r="B9" i="1"/>
  <c r="P32" i="1"/>
  <c r="P16" i="1"/>
  <c r="L7" i="1"/>
  <c r="Z29" i="1"/>
  <c r="K29" i="1"/>
  <c r="N27" i="1"/>
  <c r="N13" i="1"/>
  <c r="N37" i="1"/>
  <c r="B17" i="1"/>
  <c r="P8" i="1"/>
  <c r="K8" i="1"/>
  <c r="K6" i="1"/>
  <c r="L33" i="1"/>
  <c r="K11" i="1"/>
  <c r="Z23" i="1"/>
  <c r="K18" i="1"/>
  <c r="N19" i="1"/>
  <c r="Z6" i="1"/>
  <c r="P29" i="1"/>
  <c r="L22" i="1"/>
  <c r="P23" i="1"/>
  <c r="N18" i="1"/>
  <c r="P27" i="1"/>
  <c r="Z11" i="1"/>
  <c r="Z8" i="1"/>
  <c r="Z13" i="1"/>
  <c r="N28" i="1"/>
  <c r="K7" i="1"/>
  <c r="Z31" i="1"/>
  <c r="B19" i="1"/>
  <c r="Z14" i="1"/>
  <c r="L16" i="1"/>
  <c r="B27" i="1"/>
  <c r="B31" i="1"/>
  <c r="N17" i="1"/>
  <c r="Z27" i="1"/>
  <c r="K32" i="1"/>
  <c r="N31" i="1"/>
  <c r="B18" i="1"/>
  <c r="B24" i="1"/>
  <c r="N7" i="1"/>
  <c r="N23" i="1"/>
  <c r="K9" i="1"/>
  <c r="L11" i="1"/>
  <c r="N29" i="1"/>
  <c r="Z17" i="1"/>
  <c r="Z24" i="1"/>
  <c r="K24" i="1"/>
  <c r="K23" i="1"/>
  <c r="P28" i="1"/>
  <c r="K19" i="1"/>
  <c r="L23" i="1"/>
  <c r="Z16" i="1"/>
  <c r="N16" i="1"/>
  <c r="Z33" i="1"/>
  <c r="N24" i="1"/>
  <c r="N9" i="1"/>
  <c r="L29" i="1"/>
  <c r="K22" i="1"/>
  <c r="L14" i="1"/>
  <c r="Z7" i="1"/>
  <c r="B12" i="1"/>
  <c r="Z12" i="1"/>
  <c r="Z9" i="1"/>
  <c r="B29" i="1"/>
  <c r="B21" i="1"/>
  <c r="Z18" i="1"/>
  <c r="L32" i="1"/>
  <c r="N8" i="1"/>
  <c r="H13" i="1"/>
  <c r="B11" i="1"/>
  <c r="Z22" i="1"/>
  <c r="K34" i="1"/>
  <c r="N33" i="1"/>
  <c r="K33" i="1"/>
  <c r="B23" i="1"/>
  <c r="K12" i="1"/>
  <c r="N21" i="1"/>
  <c r="Z32" i="1"/>
  <c r="N34" i="1"/>
  <c r="H6" i="1"/>
  <c r="P34" i="1"/>
  <c r="L19" i="1"/>
  <c r="N22" i="1"/>
  <c r="AA2" i="1"/>
  <c r="H8" i="1"/>
  <c r="L13" i="1"/>
  <c r="L27" i="1"/>
  <c r="B28" i="1"/>
  <c r="Z28" i="1"/>
  <c r="U37" i="1"/>
  <c r="L18" i="1"/>
  <c r="P7" i="1"/>
  <c r="O6" i="1" l="1"/>
  <c r="B1" i="1"/>
  <c r="C1" i="1" s="1"/>
  <c r="O28" i="1"/>
  <c r="J28" i="1"/>
  <c r="M28" i="1"/>
  <c r="AB9" i="1"/>
  <c r="M6" i="1"/>
  <c r="J6" i="1"/>
  <c r="M12" i="1"/>
  <c r="J12" i="1"/>
  <c r="O12" i="1"/>
  <c r="AB18" i="1"/>
  <c r="M26" i="1"/>
  <c r="O26" i="1"/>
  <c r="J26" i="1"/>
  <c r="AB29" i="1"/>
  <c r="O17" i="1"/>
  <c r="J17" i="1"/>
  <c r="M17" i="1"/>
  <c r="O22" i="1"/>
  <c r="M22" i="1"/>
  <c r="J22" i="1"/>
  <c r="AB8" i="1"/>
  <c r="O11" i="1"/>
  <c r="J11" i="1"/>
  <c r="M11" i="1"/>
  <c r="O32" i="1"/>
  <c r="M32" i="1"/>
  <c r="J32" i="1"/>
  <c r="O33" i="1"/>
  <c r="M33" i="1"/>
  <c r="J33" i="1"/>
  <c r="M19" i="1"/>
  <c r="J19" i="1"/>
  <c r="O19" i="1"/>
  <c r="O8" i="1"/>
  <c r="J8" i="1"/>
  <c r="M8" i="1"/>
  <c r="AB17" i="1"/>
  <c r="AB33" i="1"/>
  <c r="AB26" i="1"/>
  <c r="M16" i="1"/>
  <c r="J16" i="1"/>
  <c r="O16" i="1"/>
  <c r="J31" i="1"/>
  <c r="M31" i="1"/>
  <c r="O31" i="1"/>
  <c r="J18" i="1"/>
  <c r="M18" i="1"/>
  <c r="O18" i="1"/>
  <c r="M9" i="1"/>
  <c r="J9" i="1"/>
  <c r="O9" i="1"/>
  <c r="AB21" i="1"/>
  <c r="J7" i="1"/>
  <c r="M7" i="1"/>
  <c r="O7" i="1"/>
  <c r="AB31" i="1"/>
  <c r="AB24" i="1"/>
  <c r="AB28" i="1"/>
  <c r="AB22" i="1"/>
  <c r="AB32" i="1"/>
  <c r="O13" i="1"/>
  <c r="M13" i="1"/>
  <c r="J13" i="1"/>
  <c r="O14" i="1"/>
  <c r="M14" i="1"/>
  <c r="J14" i="1"/>
  <c r="M24" i="1"/>
  <c r="J24" i="1"/>
  <c r="O24" i="1"/>
  <c r="E1" i="1"/>
  <c r="AB16" i="1"/>
  <c r="AB27" i="1"/>
  <c r="AB7" i="1"/>
  <c r="M29" i="1"/>
  <c r="J29" i="1"/>
  <c r="O29" i="1"/>
  <c r="AB11" i="1"/>
  <c r="AB34" i="1"/>
  <c r="AB23" i="1"/>
  <c r="AB19" i="1"/>
  <c r="AB6" i="1"/>
  <c r="AB14" i="1"/>
  <c r="M21" i="1"/>
  <c r="J21" i="1"/>
  <c r="O21" i="1"/>
  <c r="J27" i="1"/>
  <c r="O27" i="1"/>
  <c r="M27" i="1"/>
  <c r="O34" i="1"/>
  <c r="M34" i="1"/>
  <c r="J34" i="1"/>
  <c r="O23" i="1"/>
  <c r="J23" i="1"/>
  <c r="M23" i="1"/>
  <c r="AB13" i="1"/>
  <c r="AB12" i="1"/>
  <c r="U14" i="1"/>
  <c r="U16" i="1"/>
  <c r="X14" i="1"/>
  <c r="X16" i="1"/>
  <c r="X13" i="1"/>
  <c r="F13" i="1"/>
  <c r="U13" i="1"/>
  <c r="F16" i="1"/>
  <c r="F14" i="1"/>
  <c r="F29" i="1"/>
  <c r="F28" i="1"/>
  <c r="F34" i="1"/>
  <c r="X12" i="1"/>
  <c r="X34" i="1"/>
  <c r="X28" i="1"/>
  <c r="U32" i="1"/>
  <c r="X8" i="1"/>
  <c r="U28" i="1"/>
  <c r="U7" i="1"/>
  <c r="X29" i="1"/>
  <c r="X24" i="1"/>
  <c r="F8" i="1"/>
  <c r="X7" i="1"/>
  <c r="U8" i="1"/>
  <c r="F31" i="1"/>
  <c r="X31" i="1"/>
  <c r="F7" i="1"/>
  <c r="U12" i="1"/>
  <c r="U24" i="1"/>
  <c r="U31" i="1"/>
  <c r="X32" i="1"/>
  <c r="U22" i="1"/>
  <c r="U34" i="1"/>
  <c r="F22" i="1"/>
  <c r="U29" i="1"/>
  <c r="F24" i="1"/>
  <c r="X22" i="1"/>
  <c r="F12" i="1"/>
  <c r="F32" i="1"/>
  <c r="X27" i="1"/>
  <c r="U27" i="1"/>
  <c r="F27" i="1"/>
  <c r="F6" i="1"/>
  <c r="Z35" i="1"/>
  <c r="P35" i="1"/>
  <c r="X26" i="1"/>
  <c r="X17" i="1"/>
  <c r="X23" i="1"/>
  <c r="U9" i="1"/>
  <c r="X11" i="1"/>
  <c r="U26" i="1"/>
  <c r="U23" i="1"/>
  <c r="F35" i="1"/>
  <c r="F11" i="1"/>
  <c r="F18" i="1"/>
  <c r="L35" i="1"/>
  <c r="F26" i="1"/>
  <c r="X21" i="1"/>
  <c r="U21" i="1"/>
  <c r="U6" i="1"/>
  <c r="F21" i="1"/>
  <c r="U17" i="1"/>
  <c r="X19" i="1"/>
  <c r="X9" i="1"/>
  <c r="K35" i="1"/>
  <c r="X35" i="1"/>
  <c r="U18" i="1"/>
  <c r="U19" i="1"/>
  <c r="U35" i="1"/>
  <c r="F19" i="1"/>
  <c r="X6" i="1"/>
  <c r="F23" i="1"/>
  <c r="F17" i="1"/>
  <c r="X18" i="1"/>
  <c r="N35" i="1"/>
  <c r="F9" i="1"/>
  <c r="U11" i="1"/>
  <c r="X33" i="1"/>
  <c r="F33" i="1"/>
  <c r="U33" i="1"/>
  <c r="P33" i="1"/>
  <c r="P14" i="1"/>
  <c r="P18" i="1"/>
  <c r="P26" i="1"/>
  <c r="P19" i="1"/>
  <c r="P17" i="1"/>
  <c r="P21" i="1"/>
  <c r="P24" i="1"/>
  <c r="P13" i="1"/>
  <c r="P12" i="1"/>
  <c r="AA6" i="1"/>
  <c r="V35" i="1" l="1"/>
  <c r="W35" i="1" s="1"/>
  <c r="G35" i="1"/>
  <c r="J35" i="1"/>
  <c r="O35" i="1"/>
  <c r="Y35" i="1"/>
  <c r="T35" i="1"/>
  <c r="M35" i="1"/>
  <c r="Y28" i="1"/>
  <c r="Y34" i="1"/>
  <c r="Y27" i="1"/>
  <c r="Y32" i="1"/>
  <c r="Y33" i="1"/>
  <c r="Y26" i="1"/>
  <c r="Y29" i="1"/>
  <c r="Y31" i="1"/>
  <c r="V18" i="1"/>
  <c r="W18" i="1" s="1"/>
  <c r="T18" i="1"/>
  <c r="Y18" i="1"/>
  <c r="T9" i="1"/>
  <c r="Y9" i="1"/>
  <c r="V9" i="1"/>
  <c r="W9" i="1" s="1"/>
  <c r="T23" i="1"/>
  <c r="Y23" i="1"/>
  <c r="V23" i="1"/>
  <c r="W23" i="1" s="1"/>
  <c r="V21" i="1"/>
  <c r="W21" i="1" s="1"/>
  <c r="T21" i="1"/>
  <c r="Y21" i="1"/>
  <c r="Y17" i="1"/>
  <c r="T17" i="1"/>
  <c r="V17" i="1"/>
  <c r="W17" i="1" s="1"/>
  <c r="G19" i="1"/>
  <c r="T26" i="1"/>
  <c r="V26" i="1"/>
  <c r="W26" i="1" s="1"/>
  <c r="G11" i="1"/>
  <c r="G32" i="1"/>
  <c r="G24" i="1"/>
  <c r="G12" i="1"/>
  <c r="V11" i="1"/>
  <c r="W11" i="1" s="1"/>
  <c r="Y11" i="1"/>
  <c r="T11" i="1"/>
  <c r="G26" i="1"/>
  <c r="V33" i="1"/>
  <c r="W33" i="1" s="1"/>
  <c r="T33" i="1"/>
  <c r="T13" i="1"/>
  <c r="Y13" i="1"/>
  <c r="V13" i="1"/>
  <c r="W13" i="1" s="1"/>
  <c r="T8" i="1"/>
  <c r="Y8" i="1"/>
  <c r="V8" i="1"/>
  <c r="W8" i="1" s="1"/>
  <c r="G9" i="1"/>
  <c r="V12" i="1"/>
  <c r="W12" i="1" s="1"/>
  <c r="T12" i="1"/>
  <c r="Y12" i="1"/>
  <c r="V34" i="1"/>
  <c r="W34" i="1" s="1"/>
  <c r="T34" i="1"/>
  <c r="Y22" i="1"/>
  <c r="T22" i="1"/>
  <c r="V22" i="1"/>
  <c r="W22" i="1" s="1"/>
  <c r="G8" i="1"/>
  <c r="G28" i="1"/>
  <c r="G7" i="1"/>
  <c r="G27" i="1"/>
  <c r="G18" i="1"/>
  <c r="V19" i="1"/>
  <c r="W19" i="1" s="1"/>
  <c r="T19" i="1"/>
  <c r="Y19" i="1"/>
  <c r="G22" i="1"/>
  <c r="Y16" i="1"/>
  <c r="V16" i="1"/>
  <c r="W16" i="1" s="1"/>
  <c r="T16" i="1"/>
  <c r="G13" i="1"/>
  <c r="V27" i="1"/>
  <c r="W27" i="1" s="1"/>
  <c r="T27" i="1"/>
  <c r="G6" i="1"/>
  <c r="G23" i="1"/>
  <c r="V32" i="1"/>
  <c r="W32" i="1" s="1"/>
  <c r="T32" i="1"/>
  <c r="T31" i="1"/>
  <c r="V31" i="1"/>
  <c r="W31" i="1" s="1"/>
  <c r="G33" i="1"/>
  <c r="G29" i="1"/>
  <c r="T24" i="1"/>
  <c r="V24" i="1"/>
  <c r="W24" i="1" s="1"/>
  <c r="Y24" i="1"/>
  <c r="G34" i="1"/>
  <c r="G31" i="1"/>
  <c r="G17" i="1"/>
  <c r="G14" i="1"/>
  <c r="G16" i="1"/>
  <c r="Y14" i="1"/>
  <c r="T14" i="1"/>
  <c r="V14" i="1"/>
  <c r="W14" i="1" s="1"/>
  <c r="T28" i="1"/>
  <c r="V28" i="1"/>
  <c r="W28" i="1" s="1"/>
  <c r="Y6" i="1"/>
  <c r="T6" i="1"/>
  <c r="V6" i="1"/>
  <c r="W6" i="1" s="1"/>
  <c r="T7" i="1"/>
  <c r="Y7" i="1"/>
  <c r="V7" i="1"/>
  <c r="W7" i="1" s="1"/>
  <c r="G21" i="1"/>
  <c r="T29" i="1"/>
  <c r="V29" i="1"/>
  <c r="W29" i="1" s="1"/>
  <c r="AA35" i="1"/>
  <c r="AA26" i="1"/>
  <c r="AA18" i="1"/>
  <c r="AA27" i="1"/>
  <c r="AA29" i="1"/>
  <c r="AA11" i="1"/>
  <c r="AA28" i="1"/>
  <c r="AA19" i="1"/>
  <c r="AA31" i="1"/>
  <c r="AA22" i="1"/>
  <c r="AA16" i="1"/>
  <c r="AA7" i="1"/>
  <c r="AA17" i="1"/>
  <c r="AA34" i="1"/>
  <c r="AA8" i="1"/>
  <c r="AA13" i="1"/>
  <c r="AA12" i="1"/>
  <c r="AA33" i="1"/>
  <c r="AA24" i="1"/>
  <c r="AA32" i="1"/>
  <c r="AA14" i="1"/>
  <c r="AA21" i="1"/>
  <c r="AA23" i="1"/>
  <c r="AA9" i="1"/>
</calcChain>
</file>

<file path=xl/sharedStrings.xml><?xml version="1.0" encoding="utf-8"?>
<sst xmlns="http://schemas.openxmlformats.org/spreadsheetml/2006/main" count="49" uniqueCount="48">
  <si>
    <t>??1</t>
  </si>
  <si>
    <t>??2</t>
  </si>
  <si>
    <t>??3</t>
  </si>
  <si>
    <t>??4</t>
  </si>
  <si>
    <t>??5</t>
  </si>
  <si>
    <t>??6</t>
  </si>
  <si>
    <t>??7</t>
  </si>
  <si>
    <t>??8</t>
  </si>
  <si>
    <t>??9</t>
  </si>
  <si>
    <t>??10</t>
  </si>
  <si>
    <t>??11</t>
  </si>
  <si>
    <t>??12</t>
  </si>
  <si>
    <t>??13</t>
  </si>
  <si>
    <t>??14</t>
  </si>
  <si>
    <t>??15</t>
  </si>
  <si>
    <t>??16</t>
  </si>
  <si>
    <t>??17</t>
  </si>
  <si>
    <t>??18</t>
  </si>
  <si>
    <t>??19</t>
  </si>
  <si>
    <t>??20</t>
  </si>
  <si>
    <t>??21</t>
  </si>
  <si>
    <t>??22</t>
  </si>
  <si>
    <t>??23</t>
  </si>
  <si>
    <t>??24</t>
  </si>
  <si>
    <t>Expiration</t>
  </si>
  <si>
    <t>Days</t>
  </si>
  <si>
    <t>Until</t>
  </si>
  <si>
    <t>Date</t>
  </si>
  <si>
    <t>Today's Daily</t>
  </si>
  <si>
    <t>Traded Volume</t>
  </si>
  <si>
    <t>Vol MA</t>
  </si>
  <si>
    <t>Volume</t>
  </si>
  <si>
    <t>Today's Open Interest</t>
  </si>
  <si>
    <t>Net Change</t>
  </si>
  <si>
    <t>Minute</t>
  </si>
  <si>
    <t>Ystdy Volume &amp; Percentage</t>
  </si>
  <si>
    <t>Ystdy OI &amp; Percentage</t>
  </si>
  <si>
    <t>CHICAGO:</t>
  </si>
  <si>
    <t>NEW YORK:</t>
  </si>
  <si>
    <t>LONDON:</t>
  </si>
  <si>
    <t xml:space="preserve">Chicago: </t>
  </si>
  <si>
    <t>MA:</t>
  </si>
  <si>
    <t>Month</t>
  </si>
  <si>
    <t>SO3</t>
  </si>
  <si>
    <t>CQG Three Month SONIA Volume and Open Interest Dashboard</t>
  </si>
  <si>
    <t xml:space="preserve">London: </t>
  </si>
  <si>
    <t xml:space="preserve">  Copyright © 2023                       Designed by Thom Hartle</t>
  </si>
  <si>
    <t>??25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</si>
</sst>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m\ d\,\ yyyy;@"/>
    <numFmt numFmtId="165" formatCode="[$-F400]h:mm:ss\ AM/PM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sz val="1"/>
      <color theme="4" tint="0.79998168889431442"/>
      <name val="Century Gothic"/>
      <family val="2"/>
    </font>
    <font>
      <sz val="22"/>
      <color rgb="FF00B050"/>
      <name val="Century Gothic"/>
      <family val="2"/>
    </font>
    <font>
      <sz val="18"/>
      <color rgb="FF00B050"/>
      <name val="Century Gothic"/>
      <family val="2"/>
    </font>
    <font>
      <b/>
      <sz val="28"/>
      <color theme="4"/>
      <name val="Century Gothic"/>
      <family val="2"/>
    </font>
    <font>
      <b/>
      <sz val="26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CB6D51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A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9C0BB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BF40BF"/>
        <bgColor indexed="64"/>
      </patternFill>
    </fill>
  </fills>
  <borders count="3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theme="3"/>
      </top>
      <bottom style="thin">
        <color rgb="FFFF0000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theme="3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theme="3"/>
      </bottom>
      <diagonal/>
    </border>
    <border>
      <left/>
      <right style="thin">
        <color rgb="FFFF0000"/>
      </right>
      <top/>
      <bottom style="thin">
        <color theme="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theme="3"/>
      </bottom>
      <diagonal/>
    </border>
    <border>
      <left/>
      <right style="thin">
        <color theme="3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shrinkToFit="1"/>
    </xf>
    <xf numFmtId="164" fontId="4" fillId="2" borderId="1" xfId="0" applyNumberFormat="1" applyFont="1" applyFill="1" applyBorder="1" applyAlignment="1">
      <alignment horizontal="left"/>
    </xf>
    <xf numFmtId="3" fontId="4" fillId="2" borderId="1" xfId="0" applyNumberFormat="1" applyFont="1" applyFill="1" applyBorder="1"/>
    <xf numFmtId="164" fontId="4" fillId="2" borderId="2" xfId="0" applyNumberFormat="1" applyFont="1" applyFill="1" applyBorder="1" applyAlignment="1">
      <alignment horizontal="left"/>
    </xf>
    <xf numFmtId="3" fontId="4" fillId="2" borderId="2" xfId="0" applyNumberFormat="1" applyFont="1" applyFill="1" applyBorder="1"/>
    <xf numFmtId="164" fontId="4" fillId="2" borderId="3" xfId="0" applyNumberFormat="1" applyFont="1" applyFill="1" applyBorder="1" applyAlignment="1">
      <alignment horizontal="left"/>
    </xf>
    <xf numFmtId="3" fontId="4" fillId="2" borderId="3" xfId="0" applyNumberFormat="1" applyFont="1" applyFill="1" applyBorder="1"/>
    <xf numFmtId="0" fontId="4" fillId="2" borderId="0" xfId="0" applyFont="1" applyFill="1" applyAlignment="1">
      <alignment shrinkToFit="1"/>
    </xf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3" fontId="4" fillId="2" borderId="6" xfId="0" applyNumberFormat="1" applyFont="1" applyFill="1" applyBorder="1"/>
    <xf numFmtId="3" fontId="4" fillId="2" borderId="7" xfId="0" applyNumberFormat="1" applyFont="1" applyFill="1" applyBorder="1"/>
    <xf numFmtId="10" fontId="4" fillId="2" borderId="8" xfId="0" applyNumberFormat="1" applyFont="1" applyFill="1" applyBorder="1"/>
    <xf numFmtId="3" fontId="4" fillId="2" borderId="9" xfId="0" applyNumberFormat="1" applyFont="1" applyFill="1" applyBorder="1"/>
    <xf numFmtId="10" fontId="4" fillId="2" borderId="10" xfId="0" applyNumberFormat="1" applyFont="1" applyFill="1" applyBorder="1"/>
    <xf numFmtId="164" fontId="4" fillId="2" borderId="7" xfId="0" applyNumberFormat="1" applyFont="1" applyFill="1" applyBorder="1" applyAlignment="1">
      <alignment horizontal="left"/>
    </xf>
    <xf numFmtId="3" fontId="4" fillId="3" borderId="11" xfId="0" applyNumberFormat="1" applyFont="1" applyFill="1" applyBorder="1"/>
    <xf numFmtId="164" fontId="4" fillId="3" borderId="11" xfId="0" applyNumberFormat="1" applyFont="1" applyFill="1" applyBorder="1" applyAlignment="1">
      <alignment horizontal="left"/>
    </xf>
    <xf numFmtId="0" fontId="4" fillId="3" borderId="11" xfId="0" applyFont="1" applyFill="1" applyBorder="1"/>
    <xf numFmtId="10" fontId="4" fillId="3" borderId="11" xfId="0" applyNumberFormat="1" applyFont="1" applyFill="1" applyBorder="1"/>
    <xf numFmtId="3" fontId="5" fillId="2" borderId="4" xfId="0" applyNumberFormat="1" applyFont="1" applyFill="1" applyBorder="1"/>
    <xf numFmtId="3" fontId="5" fillId="2" borderId="5" xfId="0" applyNumberFormat="1" applyFont="1" applyFill="1" applyBorder="1"/>
    <xf numFmtId="3" fontId="5" fillId="3" borderId="0" xfId="0" applyNumberFormat="1" applyFont="1" applyFill="1" applyBorder="1"/>
    <xf numFmtId="0" fontId="4" fillId="3" borderId="12" xfId="0" applyFont="1" applyFill="1" applyBorder="1"/>
    <xf numFmtId="0" fontId="4" fillId="2" borderId="13" xfId="0" applyFont="1" applyFill="1" applyBorder="1"/>
    <xf numFmtId="0" fontId="4" fillId="2" borderId="9" xfId="0" applyFont="1" applyFill="1" applyBorder="1"/>
    <xf numFmtId="3" fontId="4" fillId="3" borderId="15" xfId="0" applyNumberFormat="1" applyFont="1" applyFill="1" applyBorder="1"/>
    <xf numFmtId="10" fontId="4" fillId="2" borderId="1" xfId="0" applyNumberFormat="1" applyFont="1" applyFill="1" applyBorder="1" applyAlignment="1">
      <alignment shrinkToFit="1"/>
    </xf>
    <xf numFmtId="10" fontId="4" fillId="2" borderId="2" xfId="0" applyNumberFormat="1" applyFont="1" applyFill="1" applyBorder="1" applyAlignment="1">
      <alignment shrinkToFit="1"/>
    </xf>
    <xf numFmtId="10" fontId="4" fillId="2" borderId="3" xfId="0" applyNumberFormat="1" applyFont="1" applyFill="1" applyBorder="1" applyAlignment="1">
      <alignment shrinkToFit="1"/>
    </xf>
    <xf numFmtId="10" fontId="4" fillId="3" borderId="11" xfId="0" applyNumberFormat="1" applyFont="1" applyFill="1" applyBorder="1" applyAlignment="1">
      <alignment shrinkToFit="1"/>
    </xf>
    <xf numFmtId="10" fontId="4" fillId="2" borderId="7" xfId="0" applyNumberFormat="1" applyFont="1" applyFill="1" applyBorder="1" applyAlignment="1">
      <alignment shrinkToFit="1"/>
    </xf>
    <xf numFmtId="0" fontId="7" fillId="4" borderId="0" xfId="0" applyFont="1" applyFill="1"/>
    <xf numFmtId="0" fontId="7" fillId="5" borderId="0" xfId="0" applyFont="1" applyFill="1"/>
    <xf numFmtId="0" fontId="7" fillId="4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shrinkToFit="1"/>
    </xf>
    <xf numFmtId="0" fontId="7" fillId="5" borderId="17" xfId="0" applyFont="1" applyFill="1" applyBorder="1" applyAlignment="1">
      <alignment horizontal="center" shrinkToFit="1"/>
    </xf>
    <xf numFmtId="0" fontId="7" fillId="4" borderId="18" xfId="0" applyFont="1" applyFill="1" applyBorder="1"/>
    <xf numFmtId="0" fontId="7" fillId="5" borderId="19" xfId="0" applyFont="1" applyFill="1" applyBorder="1"/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0" fontId="4" fillId="3" borderId="20" xfId="0" applyFont="1" applyFill="1" applyBorder="1" applyAlignment="1"/>
    <xf numFmtId="3" fontId="4" fillId="2" borderId="14" xfId="0" applyNumberFormat="1" applyFont="1" applyFill="1" applyBorder="1"/>
    <xf numFmtId="3" fontId="4" fillId="2" borderId="10" xfId="0" applyNumberFormat="1" applyFont="1" applyFill="1" applyBorder="1"/>
    <xf numFmtId="0" fontId="4" fillId="2" borderId="21" xfId="0" applyFont="1" applyFill="1" applyBorder="1"/>
    <xf numFmtId="0" fontId="4" fillId="2" borderId="6" xfId="0" applyFont="1" applyFill="1" applyBorder="1"/>
    <xf numFmtId="3" fontId="4" fillId="3" borderId="2" xfId="0" applyNumberFormat="1" applyFont="1" applyFill="1" applyBorder="1"/>
    <xf numFmtId="0" fontId="7" fillId="4" borderId="18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0" fontId="4" fillId="11" borderId="2" xfId="0" applyFont="1" applyFill="1" applyBorder="1" applyAlignment="1">
      <alignment horizontal="left"/>
    </xf>
    <xf numFmtId="0" fontId="4" fillId="14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14" borderId="7" xfId="0" applyFont="1" applyFill="1" applyBorder="1" applyAlignment="1">
      <alignment horizontal="left"/>
    </xf>
    <xf numFmtId="165" fontId="4" fillId="3" borderId="12" xfId="0" applyNumberFormat="1" applyFont="1" applyFill="1" applyBorder="1" applyAlignment="1">
      <alignment horizontal="left"/>
    </xf>
    <xf numFmtId="0" fontId="4" fillId="2" borderId="24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/>
    </xf>
    <xf numFmtId="0" fontId="4" fillId="14" borderId="22" xfId="0" applyFont="1" applyFill="1" applyBorder="1" applyAlignment="1">
      <alignment horizontal="center"/>
    </xf>
    <xf numFmtId="0" fontId="4" fillId="10" borderId="22" xfId="0" applyFont="1" applyFill="1" applyBorder="1" applyAlignment="1">
      <alignment horizontal="center"/>
    </xf>
    <xf numFmtId="0" fontId="4" fillId="11" borderId="22" xfId="0" applyFont="1" applyFill="1" applyBorder="1" applyAlignment="1">
      <alignment horizontal="center"/>
    </xf>
    <xf numFmtId="0" fontId="7" fillId="15" borderId="26" xfId="0" applyFont="1" applyFill="1" applyBorder="1" applyAlignment="1" applyProtection="1">
      <alignment horizontal="center" wrapText="1"/>
      <protection locked="0"/>
    </xf>
    <xf numFmtId="0" fontId="7" fillId="15" borderId="26" xfId="0" applyFont="1" applyFill="1" applyBorder="1" applyAlignment="1" applyProtection="1">
      <protection locked="0"/>
    </xf>
    <xf numFmtId="0" fontId="7" fillId="16" borderId="17" xfId="0" applyFont="1" applyFill="1" applyBorder="1" applyAlignment="1" applyProtection="1">
      <alignment horizontal="center" wrapText="1"/>
      <protection locked="0"/>
    </xf>
    <xf numFmtId="0" fontId="8" fillId="16" borderId="17" xfId="0" applyFont="1" applyFill="1" applyBorder="1" applyAlignment="1"/>
    <xf numFmtId="0" fontId="5" fillId="16" borderId="17" xfId="0" applyFont="1" applyFill="1" applyBorder="1" applyAlignment="1">
      <alignment horizontal="center" wrapText="1"/>
    </xf>
    <xf numFmtId="3" fontId="4" fillId="3" borderId="11" xfId="0" applyNumberFormat="1" applyFont="1" applyFill="1" applyBorder="1" applyAlignment="1">
      <alignment horizontal="right" shrinkToFit="1"/>
    </xf>
    <xf numFmtId="0" fontId="4" fillId="2" borderId="1" xfId="0" applyFont="1" applyFill="1" applyBorder="1" applyAlignment="1"/>
    <xf numFmtId="0" fontId="4" fillId="2" borderId="27" xfId="0" applyFont="1" applyFill="1" applyBorder="1" applyAlignment="1"/>
    <xf numFmtId="0" fontId="4" fillId="14" borderId="2" xfId="0" applyFont="1" applyFill="1" applyBorder="1" applyAlignment="1"/>
    <xf numFmtId="0" fontId="4" fillId="14" borderId="28" xfId="0" applyFont="1" applyFill="1" applyBorder="1" applyAlignment="1"/>
    <xf numFmtId="0" fontId="4" fillId="10" borderId="2" xfId="0" applyFont="1" applyFill="1" applyBorder="1" applyAlignment="1"/>
    <xf numFmtId="0" fontId="4" fillId="10" borderId="28" xfId="0" applyFont="1" applyFill="1" applyBorder="1" applyAlignment="1"/>
    <xf numFmtId="0" fontId="4" fillId="11" borderId="2" xfId="0" applyFont="1" applyFill="1" applyBorder="1" applyAlignment="1"/>
    <xf numFmtId="0" fontId="4" fillId="11" borderId="28" xfId="0" applyFont="1" applyFill="1" applyBorder="1" applyAlignment="1"/>
    <xf numFmtId="0" fontId="5" fillId="9" borderId="2" xfId="0" applyFont="1" applyFill="1" applyBorder="1" applyAlignment="1"/>
    <xf numFmtId="0" fontId="5" fillId="9" borderId="28" xfId="0" applyFont="1" applyFill="1" applyBorder="1" applyAlignment="1"/>
    <xf numFmtId="0" fontId="4" fillId="7" borderId="2" xfId="0" applyFont="1" applyFill="1" applyBorder="1" applyAlignment="1"/>
    <xf numFmtId="0" fontId="4" fillId="7" borderId="28" xfId="0" applyFont="1" applyFill="1" applyBorder="1" applyAlignment="1"/>
    <xf numFmtId="0" fontId="4" fillId="8" borderId="2" xfId="0" applyFont="1" applyFill="1" applyBorder="1" applyAlignment="1"/>
    <xf numFmtId="0" fontId="4" fillId="8" borderId="28" xfId="0" applyFont="1" applyFill="1" applyBorder="1" applyAlignment="1"/>
    <xf numFmtId="0" fontId="4" fillId="12" borderId="2" xfId="0" applyFont="1" applyFill="1" applyBorder="1" applyAlignment="1"/>
    <xf numFmtId="0" fontId="4" fillId="12" borderId="28" xfId="0" applyFont="1" applyFill="1" applyBorder="1" applyAlignment="1"/>
    <xf numFmtId="0" fontId="5" fillId="13" borderId="2" xfId="0" applyFont="1" applyFill="1" applyBorder="1" applyAlignment="1"/>
    <xf numFmtId="0" fontId="5" fillId="13" borderId="28" xfId="0" applyFont="1" applyFill="1" applyBorder="1" applyAlignment="1"/>
    <xf numFmtId="0" fontId="4" fillId="6" borderId="2" xfId="0" applyFont="1" applyFill="1" applyBorder="1" applyAlignment="1"/>
    <xf numFmtId="0" fontId="4" fillId="6" borderId="28" xfId="0" applyFont="1" applyFill="1" applyBorder="1" applyAlignment="1"/>
    <xf numFmtId="3" fontId="4" fillId="3" borderId="11" xfId="0" applyNumberFormat="1" applyFont="1" applyFill="1" applyBorder="1" applyAlignment="1">
      <alignment horizontal="center"/>
    </xf>
    <xf numFmtId="165" fontId="9" fillId="3" borderId="18" xfId="0" applyNumberFormat="1" applyFont="1" applyFill="1" applyBorder="1" applyAlignment="1">
      <alignment vertical="center"/>
    </xf>
    <xf numFmtId="165" fontId="9" fillId="3" borderId="29" xfId="0" applyNumberFormat="1" applyFont="1" applyFill="1" applyBorder="1" applyAlignment="1">
      <alignment vertical="center"/>
    </xf>
    <xf numFmtId="165" fontId="9" fillId="3" borderId="19" xfId="0" applyNumberFormat="1" applyFont="1" applyFill="1" applyBorder="1" applyAlignment="1">
      <alignment vertical="center"/>
    </xf>
    <xf numFmtId="165" fontId="9" fillId="3" borderId="30" xfId="0" applyNumberFormat="1" applyFont="1" applyFill="1" applyBorder="1" applyAlignment="1">
      <alignment vertical="center"/>
    </xf>
    <xf numFmtId="0" fontId="4" fillId="3" borderId="12" xfId="0" applyFont="1" applyFill="1" applyBorder="1" applyAlignment="1"/>
    <xf numFmtId="0" fontId="8" fillId="16" borderId="0" xfId="0" applyFont="1" applyFill="1" applyBorder="1" applyAlignment="1"/>
    <xf numFmtId="3" fontId="4" fillId="18" borderId="38" xfId="0" applyNumberFormat="1" applyFont="1" applyFill="1" applyBorder="1" applyAlignment="1">
      <alignment horizontal="right" shrinkToFit="1"/>
    </xf>
    <xf numFmtId="3" fontId="4" fillId="18" borderId="0" xfId="0" applyNumberFormat="1" applyFont="1" applyFill="1" applyBorder="1" applyAlignment="1">
      <alignment horizontal="right" shrinkToFit="1"/>
    </xf>
    <xf numFmtId="0" fontId="4" fillId="14" borderId="23" xfId="0" applyFont="1" applyFill="1" applyBorder="1" applyAlignment="1">
      <alignment horizontal="center"/>
    </xf>
    <xf numFmtId="0" fontId="4" fillId="10" borderId="25" xfId="0" applyFont="1" applyFill="1" applyBorder="1" applyAlignment="1">
      <alignment horizontal="center"/>
    </xf>
    <xf numFmtId="0" fontId="4" fillId="9" borderId="22" xfId="0" applyFont="1" applyFill="1" applyBorder="1" applyAlignment="1">
      <alignment horizontal="center"/>
    </xf>
    <xf numFmtId="0" fontId="4" fillId="19" borderId="22" xfId="0" applyFont="1" applyFill="1" applyBorder="1" applyAlignment="1">
      <alignment horizontal="center"/>
    </xf>
    <xf numFmtId="0" fontId="3" fillId="2" borderId="0" xfId="0" applyFont="1" applyFill="1"/>
    <xf numFmtId="0" fontId="4" fillId="19" borderId="11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left"/>
    </xf>
    <xf numFmtId="164" fontId="4" fillId="2" borderId="11" xfId="0" applyNumberFormat="1" applyFont="1" applyFill="1" applyBorder="1" applyAlignment="1">
      <alignment horizontal="left"/>
    </xf>
    <xf numFmtId="3" fontId="4" fillId="2" borderId="11" xfId="0" applyNumberFormat="1" applyFont="1" applyFill="1" applyBorder="1"/>
    <xf numFmtId="3" fontId="4" fillId="2" borderId="0" xfId="0" applyNumberFormat="1" applyFont="1" applyFill="1" applyBorder="1"/>
    <xf numFmtId="0" fontId="4" fillId="2" borderId="11" xfId="0" applyFont="1" applyFill="1" applyBorder="1"/>
    <xf numFmtId="10" fontId="4" fillId="2" borderId="11" xfId="0" applyNumberFormat="1" applyFont="1" applyFill="1" applyBorder="1" applyAlignment="1">
      <alignment shrinkToFit="1"/>
    </xf>
    <xf numFmtId="0" fontId="5" fillId="9" borderId="11" xfId="0" applyFont="1" applyFill="1" applyBorder="1" applyAlignment="1"/>
    <xf numFmtId="0" fontId="5" fillId="9" borderId="15" xfId="0" applyFont="1" applyFill="1" applyBorder="1" applyAlignment="1"/>
    <xf numFmtId="3" fontId="4" fillId="18" borderId="7" xfId="0" applyNumberFormat="1" applyFont="1" applyFill="1" applyBorder="1" applyAlignment="1">
      <alignment horizontal="right" shrinkToFit="1"/>
    </xf>
    <xf numFmtId="0" fontId="2" fillId="2" borderId="0" xfId="0" applyFont="1" applyFill="1"/>
    <xf numFmtId="0" fontId="4" fillId="2" borderId="2" xfId="0" applyFont="1" applyFill="1" applyBorder="1"/>
    <xf numFmtId="3" fontId="5" fillId="2" borderId="7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14" borderId="13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19" borderId="9" xfId="0" applyFont="1" applyFill="1" applyBorder="1" applyAlignment="1">
      <alignment horizontal="center"/>
    </xf>
    <xf numFmtId="0" fontId="4" fillId="3" borderId="2" xfId="0" applyFont="1" applyFill="1" applyBorder="1"/>
    <xf numFmtId="0" fontId="7" fillId="15" borderId="18" xfId="0" applyFont="1" applyFill="1" applyBorder="1" applyAlignment="1" applyProtection="1"/>
    <xf numFmtId="165" fontId="4" fillId="3" borderId="12" xfId="0" applyNumberFormat="1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10" fillId="3" borderId="18" xfId="0" applyFont="1" applyFill="1" applyBorder="1" applyAlignment="1">
      <alignment horizontal="right" vertical="center"/>
    </xf>
    <xf numFmtId="0" fontId="10" fillId="3" borderId="19" xfId="0" applyFont="1" applyFill="1" applyBorder="1" applyAlignment="1">
      <alignment horizontal="right" vertical="center"/>
    </xf>
    <xf numFmtId="165" fontId="10" fillId="3" borderId="18" xfId="0" applyNumberFormat="1" applyFont="1" applyFill="1" applyBorder="1" applyAlignment="1">
      <alignment horizontal="center" vertical="center"/>
    </xf>
    <xf numFmtId="165" fontId="10" fillId="3" borderId="19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right" shrinkToFit="1"/>
    </xf>
    <xf numFmtId="3" fontId="4" fillId="2" borderId="11" xfId="0" applyNumberFormat="1" applyFont="1" applyFill="1" applyBorder="1" applyAlignment="1">
      <alignment horizontal="right" shrinkToFit="1"/>
    </xf>
    <xf numFmtId="3" fontId="4" fillId="2" borderId="9" xfId="0" applyNumberFormat="1" applyFont="1" applyFill="1" applyBorder="1" applyAlignment="1">
      <alignment horizontal="right" shrinkToFi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7" fillId="5" borderId="19" xfId="0" applyFont="1" applyFill="1" applyBorder="1" applyAlignment="1">
      <alignment horizontal="center"/>
    </xf>
    <xf numFmtId="3" fontId="4" fillId="2" borderId="14" xfId="0" applyNumberFormat="1" applyFont="1" applyFill="1" applyBorder="1" applyAlignment="1">
      <alignment horizontal="right" shrinkToFit="1"/>
    </xf>
    <xf numFmtId="3" fontId="4" fillId="2" borderId="37" xfId="0" applyNumberFormat="1" applyFont="1" applyFill="1" applyBorder="1" applyAlignment="1">
      <alignment horizontal="right" shrinkToFit="1"/>
    </xf>
    <xf numFmtId="3" fontId="4" fillId="2" borderId="13" xfId="0" applyNumberFormat="1" applyFont="1" applyFill="1" applyBorder="1" applyAlignment="1">
      <alignment horizontal="right" shrinkToFit="1"/>
    </xf>
    <xf numFmtId="165" fontId="4" fillId="3" borderId="31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right"/>
    </xf>
    <xf numFmtId="0" fontId="4" fillId="3" borderId="12" xfId="0" applyFont="1" applyFill="1" applyBorder="1" applyAlignment="1">
      <alignment horizontal="right"/>
    </xf>
    <xf numFmtId="0" fontId="7" fillId="17" borderId="32" xfId="0" applyFont="1" applyFill="1" applyBorder="1" applyAlignment="1">
      <alignment horizontal="center" vertical="center"/>
    </xf>
    <xf numFmtId="0" fontId="7" fillId="17" borderId="18" xfId="0" applyFont="1" applyFill="1" applyBorder="1" applyAlignment="1">
      <alignment horizontal="center" vertical="center"/>
    </xf>
    <xf numFmtId="0" fontId="7" fillId="17" borderId="29" xfId="0" applyFont="1" applyFill="1" applyBorder="1" applyAlignment="1">
      <alignment horizontal="center" vertical="center"/>
    </xf>
    <xf numFmtId="0" fontId="7" fillId="17" borderId="33" xfId="0" applyFont="1" applyFill="1" applyBorder="1" applyAlignment="1">
      <alignment horizontal="center" vertical="center"/>
    </xf>
    <xf numFmtId="0" fontId="7" fillId="17" borderId="19" xfId="0" applyFont="1" applyFill="1" applyBorder="1" applyAlignment="1">
      <alignment horizontal="center" vertical="center"/>
    </xf>
    <xf numFmtId="0" fontId="7" fillId="17" borderId="3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/>
    </xf>
    <xf numFmtId="0" fontId="7" fillId="17" borderId="34" xfId="0" applyFont="1" applyFill="1" applyBorder="1" applyAlignment="1">
      <alignment horizontal="center" vertical="center"/>
    </xf>
    <xf numFmtId="0" fontId="7" fillId="17" borderId="18" xfId="0" applyFont="1" applyFill="1" applyBorder="1" applyAlignment="1">
      <alignment horizontal="center" vertical="center" wrapText="1"/>
    </xf>
    <xf numFmtId="0" fontId="7" fillId="17" borderId="29" xfId="0" applyFont="1" applyFill="1" applyBorder="1" applyAlignment="1">
      <alignment horizontal="center" vertical="center" wrapText="1"/>
    </xf>
    <xf numFmtId="0" fontId="7" fillId="17" borderId="34" xfId="0" applyFont="1" applyFill="1" applyBorder="1" applyAlignment="1">
      <alignment horizontal="center" vertical="center" wrapText="1"/>
    </xf>
    <xf numFmtId="0" fontId="7" fillId="17" borderId="35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165" fontId="10" fillId="3" borderId="18" xfId="0" applyNumberFormat="1" applyFont="1" applyFill="1" applyBorder="1" applyAlignment="1">
      <alignment horizontal="right" vertical="center"/>
    </xf>
    <xf numFmtId="165" fontId="10" fillId="3" borderId="19" xfId="0" applyNumberFormat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7" fillId="4" borderId="18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7" fillId="17" borderId="18" xfId="0" applyFont="1" applyFill="1" applyBorder="1" applyAlignment="1">
      <alignment horizontal="center" wrapText="1"/>
    </xf>
    <xf numFmtId="0" fontId="7" fillId="17" borderId="29" xfId="0" applyFont="1" applyFill="1" applyBorder="1" applyAlignment="1">
      <alignment horizontal="center" wrapText="1"/>
    </xf>
    <xf numFmtId="0" fontId="7" fillId="17" borderId="19" xfId="0" applyFont="1" applyFill="1" applyBorder="1" applyAlignment="1">
      <alignment horizontal="center" wrapText="1"/>
    </xf>
    <xf numFmtId="0" fontId="7" fillId="17" borderId="30" xfId="0" applyFont="1" applyFill="1" applyBorder="1" applyAlignment="1">
      <alignment horizontal="center" wrapText="1"/>
    </xf>
    <xf numFmtId="14" fontId="1" fillId="2" borderId="0" xfId="0" applyNumberFormat="1" applyFont="1" applyFill="1"/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NumberFormat="1" applyFont="1" applyFill="1"/>
  </cellXfs>
  <cellStyles count="1">
    <cellStyle name="Normal" xfId="0" builtinId="0"/>
  </cellStyles>
  <dxfs count="89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BF40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StudyData</stp>
        <stp>SO3??18</stp>
        <stp>Vol</stp>
        <stp>VolType=Exchange,CoCType=Contract</stp>
        <stp>Vol</stp>
        <stp>5</stp>
        <stp>0</stp>
        <stp>ALL</stp>
        <stp/>
        <stp/>
        <stp>TRUE</stp>
        <stp>T</stp>
        <tr r="Z27" s="1"/>
      </tp>
      <tp t="s">
        <v/>
        <stp/>
        <stp>StudyData</stp>
        <stp>SO3??19</stp>
        <stp>Vol</stp>
        <stp>VolType=Exchange,CoCType=Contract</stp>
        <stp>Vol</stp>
        <stp>5</stp>
        <stp>0</stp>
        <stp>ALL</stp>
        <stp/>
        <stp/>
        <stp>TRUE</stp>
        <stp>T</stp>
        <tr r="Z28" s="1"/>
      </tp>
      <tp t="s">
        <v/>
        <stp/>
        <stp>StudyData</stp>
        <stp>SO3??12</stp>
        <stp>Vol</stp>
        <stp>VolType=Exchange,CoCType=Contract</stp>
        <stp>Vol</stp>
        <stp>5</stp>
        <stp>0</stp>
        <stp>ALL</stp>
        <stp/>
        <stp/>
        <stp>TRUE</stp>
        <stp>T</stp>
        <tr r="Z19" s="1"/>
      </tp>
      <tp t="s">
        <v/>
        <stp/>
        <stp>StudyData</stp>
        <stp>SO3??13</stp>
        <stp>Vol</stp>
        <stp>VolType=Exchange,CoCType=Contract</stp>
        <stp>Vol</stp>
        <stp>5</stp>
        <stp>0</stp>
        <stp>ALL</stp>
        <stp/>
        <stp/>
        <stp>TRUE</stp>
        <stp>T</stp>
        <tr r="Z21" s="1"/>
      </tp>
      <tp t="s">
        <v/>
        <stp/>
        <stp>StudyData</stp>
        <stp>SO3??10</stp>
        <stp>Vol</stp>
        <stp>VolType=Exchange,CoCType=Contract</stp>
        <stp>Vol</stp>
        <stp>5</stp>
        <stp>0</stp>
        <stp>ALL</stp>
        <stp/>
        <stp/>
        <stp>TRUE</stp>
        <stp>T</stp>
        <tr r="Z17" s="1"/>
      </tp>
      <tp t="s">
        <v/>
        <stp/>
        <stp>StudyData</stp>
        <stp>SO3??11</stp>
        <stp>Vol</stp>
        <stp>VolType=Exchange,CoCType=Contract</stp>
        <stp>Vol</stp>
        <stp>5</stp>
        <stp>0</stp>
        <stp>ALL</stp>
        <stp/>
        <stp/>
        <stp>TRUE</stp>
        <stp>T</stp>
        <tr r="Z18" s="1"/>
      </tp>
      <tp t="s">
        <v/>
        <stp/>
        <stp>StudyData</stp>
        <stp>SO3??16</stp>
        <stp>Vol</stp>
        <stp>VolType=Exchange,CoCType=Contract</stp>
        <stp>Vol</stp>
        <stp>5</stp>
        <stp>0</stp>
        <stp>ALL</stp>
        <stp/>
        <stp/>
        <stp>TRUE</stp>
        <stp>T</stp>
        <tr r="Z24" s="1"/>
      </tp>
      <tp t="s">
        <v/>
        <stp/>
        <stp>StudyData</stp>
        <stp>SO3??17</stp>
        <stp>Vol</stp>
        <stp>VolType=Exchange,CoCType=Contract</stp>
        <stp>Vol</stp>
        <stp>5</stp>
        <stp>0</stp>
        <stp>ALL</stp>
        <stp/>
        <stp/>
        <stp>TRUE</stp>
        <stp>T</stp>
        <tr r="Z26" s="1"/>
      </tp>
      <tp t="s">
        <v/>
        <stp/>
        <stp>StudyData</stp>
        <stp>SO3??14</stp>
        <stp>Vol</stp>
        <stp>VolType=Exchange,CoCType=Contract</stp>
        <stp>Vol</stp>
        <stp>5</stp>
        <stp>0</stp>
        <stp>ALL</stp>
        <stp/>
        <stp/>
        <stp>TRUE</stp>
        <stp>T</stp>
        <tr r="Z22" s="1"/>
      </tp>
      <tp t="s">
        <v/>
        <stp/>
        <stp>StudyData</stp>
        <stp>SO3??15</stp>
        <stp>Vol</stp>
        <stp>VolType=Exchange,CoCType=Contract</stp>
        <stp>Vol</stp>
        <stp>5</stp>
        <stp>0</stp>
        <stp>ALL</stp>
        <stp/>
        <stp/>
        <stp>TRUE</stp>
        <stp>T</stp>
        <tr r="Z23" s="1"/>
      </tp>
      <tp t="s">
        <v/>
        <stp/>
        <stp>StudyData</stp>
        <stp>SO3??22</stp>
        <stp>Vol</stp>
        <stp>VolType=Exchange,CoCType=Contract</stp>
        <stp>Vol</stp>
        <stp>5</stp>
        <stp>0</stp>
        <stp>ALL</stp>
        <stp/>
        <stp/>
        <stp>TRUE</stp>
        <stp>T</stp>
        <tr r="Z32" s="1"/>
      </tp>
      <tp t="s">
        <v/>
        <stp/>
        <stp>StudyData</stp>
        <stp>SO3??23</stp>
        <stp>Vol</stp>
        <stp>VolType=Exchange,CoCType=Contract</stp>
        <stp>Vol</stp>
        <stp>5</stp>
        <stp>0</stp>
        <stp>ALL</stp>
        <stp/>
        <stp/>
        <stp>TRUE</stp>
        <stp>T</stp>
        <tr r="Z33" s="1"/>
      </tp>
      <tp t="s">
        <v/>
        <stp/>
        <stp>StudyData</stp>
        <stp>SO3??20</stp>
        <stp>Vol</stp>
        <stp>VolType=Exchange,CoCType=Contract</stp>
        <stp>Vol</stp>
        <stp>5</stp>
        <stp>0</stp>
        <stp>ALL</stp>
        <stp/>
        <stp/>
        <stp>TRUE</stp>
        <stp>T</stp>
        <tr r="Z29" s="1"/>
      </tp>
      <tp t="s">
        <v/>
        <stp/>
        <stp>StudyData</stp>
        <stp>SO3??21</stp>
        <stp>Vol</stp>
        <stp>VolType=Exchange,CoCType=Contract</stp>
        <stp>Vol</stp>
        <stp>5</stp>
        <stp>0</stp>
        <stp>ALL</stp>
        <stp/>
        <stp/>
        <stp>TRUE</stp>
        <stp>T</stp>
        <tr r="Z31" s="1"/>
      </tp>
      <tp t="s">
        <v/>
        <stp/>
        <stp>StudyData</stp>
        <stp>SO3??24</stp>
        <stp>Vol</stp>
        <stp>VolType=Exchange,CoCType=Contract</stp>
        <stp>Vol</stp>
        <stp>5</stp>
        <stp>0</stp>
        <stp>ALL</stp>
        <stp/>
        <stp/>
        <stp>TRUE</stp>
        <stp>T</stp>
        <tr r="Z34" s="1"/>
      </tp>
      <tp t="s">
        <v/>
        <stp/>
        <stp>StudyData</stp>
        <stp>SO3??25</stp>
        <stp>Vol</stp>
        <stp>VolType=Exchange,CoCType=Contract</stp>
        <stp>Vol</stp>
        <stp>5</stp>
        <stp>0</stp>
        <stp>ALL</stp>
        <stp/>
        <stp/>
        <stp>TRUE</stp>
        <stp>T</stp>
        <tr r="Z35" s="1"/>
      </tp>
      <tp>
        <v>108918</v>
        <stp/>
        <stp>ContractData</stp>
        <stp>SO3??6</stp>
        <stp>COI</stp>
        <tr r="U12" s="1"/>
      </tp>
      <tp>
        <v>87782</v>
        <stp/>
        <stp>ContractData</stp>
        <stp>SO3??7</stp>
        <stp>COI</stp>
        <tr r="U13" s="1"/>
      </tp>
      <tp>
        <v>151319</v>
        <stp/>
        <stp>ContractData</stp>
        <stp>SO3??4</stp>
        <stp>COI</stp>
        <tr r="U9" s="1"/>
      </tp>
      <tp>
        <v>113510</v>
        <stp/>
        <stp>ContractData</stp>
        <stp>SO3??5</stp>
        <stp>COI</stp>
        <tr r="U11" s="1"/>
      </tp>
      <tp>
        <v>230527</v>
        <stp/>
        <stp>ContractData</stp>
        <stp>SO3??2</stp>
        <stp>COI</stp>
        <tr r="U7" s="1"/>
      </tp>
      <tp>
        <v>180939</v>
        <stp/>
        <stp>ContractData</stp>
        <stp>SO3??3</stp>
        <stp>COI</stp>
        <tr r="U8" s="1"/>
      </tp>
      <tp>
        <v>144990</v>
        <stp/>
        <stp>ContractData</stp>
        <stp>SO3??1</stp>
        <stp>COI</stp>
        <tr r="U6" s="1"/>
      </tp>
      <tp>
        <v>132604</v>
        <stp/>
        <stp>ContractData</stp>
        <stp>SO3??8</stp>
        <stp>COI</stp>
        <tr r="U14" s="1"/>
      </tp>
      <tp>
        <v>70103</v>
        <stp/>
        <stp>ContractData</stp>
        <stp>SO3??9</stp>
        <stp>COI</stp>
        <tr r="U16" s="1"/>
      </tp>
      <tp>
        <v>28845.599999999999</v>
        <stp/>
        <stp>StudyData</stp>
        <stp>SO3??9</stp>
        <stp>MA</stp>
        <stp>InputChoice=ContractVol,MAType=Sim,Period=10</stp>
        <stp>MA</stp>
        <stp/>
        <stp/>
        <stp>all</stp>
        <stp/>
        <stp/>
        <stp/>
        <stp>T</stp>
        <tr r="L16" s="1"/>
      </tp>
      <tp>
        <v>46962.7</v>
        <stp/>
        <stp>StudyData</stp>
        <stp>SO3??8</stp>
        <stp>MA</stp>
        <stp>InputChoice=ContractVol,MAType=Sim,Period=10</stp>
        <stp>MA</stp>
        <stp/>
        <stp/>
        <stp>all</stp>
        <stp/>
        <stp/>
        <stp/>
        <stp>T</stp>
        <tr r="L14" s="1"/>
      </tp>
      <tp t="s">
        <v>Three Month SONIA, Dec 28</v>
        <stp/>
        <stp>ContractData</stp>
        <stp>SO3??24</stp>
        <stp>LongDescription</stp>
        <tr r="B34" s="1"/>
      </tp>
      <tp t="s">
        <v>Three Month SONIA, Mar 29</v>
        <stp/>
        <stp>ContractData</stp>
        <stp>SO3??25</stp>
        <stp>LongDescription</stp>
        <tr r="B35" s="1"/>
        <tr r="B35" s="1"/>
      </tp>
      <tp t="s">
        <v>Three Month SONIA, Dec 27</v>
        <stp/>
        <stp>ContractData</stp>
        <stp>SO3??20</stp>
        <stp>LongDescription</stp>
        <tr r="B29" s="1"/>
      </tp>
      <tp t="s">
        <v>Three Month SONIA, Mar 28</v>
        <stp/>
        <stp>ContractData</stp>
        <stp>SO3??21</stp>
        <stp>LongDescription</stp>
        <tr r="B31" s="1"/>
      </tp>
      <tp t="s">
        <v>Three Month SONIA, Jun 28</v>
        <stp/>
        <stp>ContractData</stp>
        <stp>SO3??22</stp>
        <stp>LongDescription</stp>
        <tr r="B32" s="1"/>
      </tp>
      <tp t="s">
        <v>Three Month SONIA, Sep 28</v>
        <stp/>
        <stp>ContractData</stp>
        <stp>SO3??23</stp>
        <stp>LongDescription</stp>
        <tr r="B33" s="1"/>
      </tp>
      <tp t="s">
        <v>Three Month SONIA, Jun 27</v>
        <stp/>
        <stp>ContractData</stp>
        <stp>SO3??18</stp>
        <stp>LongDescription</stp>
        <tr r="B27" s="1"/>
      </tp>
      <tp t="s">
        <v>Three Month SONIA, Sep 27</v>
        <stp/>
        <stp>ContractData</stp>
        <stp>SO3??19</stp>
        <stp>LongDescription</stp>
        <tr r="B28" s="1"/>
      </tp>
      <tp t="s">
        <v>Three Month SONIA, Jun 26</v>
        <stp/>
        <stp>ContractData</stp>
        <stp>SO3??14</stp>
        <stp>LongDescription</stp>
        <tr r="B22" s="1"/>
      </tp>
      <tp t="s">
        <v>Three Month SONIA, Sep 26</v>
        <stp/>
        <stp>ContractData</stp>
        <stp>SO3??15</stp>
        <stp>LongDescription</stp>
        <tr r="B23" s="1"/>
      </tp>
      <tp t="s">
        <v>Three Month SONIA, Dec 26</v>
        <stp/>
        <stp>ContractData</stp>
        <stp>SO3??16</stp>
        <stp>LongDescription</stp>
        <tr r="B24" s="1"/>
      </tp>
      <tp t="s">
        <v>Three Month SONIA, Mar 27</v>
        <stp/>
        <stp>ContractData</stp>
        <stp>SO3??17</stp>
        <stp>LongDescription</stp>
        <tr r="B26" s="1"/>
      </tp>
      <tp t="s">
        <v>Three Month SONIA, Jun 25</v>
        <stp/>
        <stp>ContractData</stp>
        <stp>SO3??10</stp>
        <stp>LongDescription</stp>
        <tr r="B17" s="1"/>
      </tp>
      <tp t="s">
        <v>Three Month SONIA, Sep 25</v>
        <stp/>
        <stp>ContractData</stp>
        <stp>SO3??11</stp>
        <stp>LongDescription</stp>
        <tr r="B18" s="1"/>
      </tp>
      <tp t="s">
        <v>Three Month SONIA, Dec 25</v>
        <stp/>
        <stp>ContractData</stp>
        <stp>SO3??12</stp>
        <stp>LongDescription</stp>
        <tr r="B19" s="1"/>
      </tp>
      <tp t="s">
        <v>Three Month SONIA, Mar 26</v>
        <stp/>
        <stp>ContractData</stp>
        <stp>SO3??13</stp>
        <stp>LongDescription</stp>
        <tr r="B21" s="1"/>
      </tp>
      <tp>
        <v>1382</v>
        <stp/>
        <stp>ContractData</stp>
        <stp>SO3??18</stp>
        <stp>Y_CVol</stp>
        <tr r="N27" s="1"/>
      </tp>
      <tp>
        <v>333</v>
        <stp/>
        <stp>ContractData</stp>
        <stp>SO3??19</stp>
        <stp>Y_CVol</stp>
        <tr r="N28" s="1"/>
      </tp>
      <tp>
        <v>3243</v>
        <stp/>
        <stp>ContractData</stp>
        <stp>SO3??14</stp>
        <stp>Y_CVol</stp>
        <tr r="N22" s="1"/>
      </tp>
      <tp>
        <v>3044</v>
        <stp/>
        <stp>ContractData</stp>
        <stp>SO3??15</stp>
        <stp>Y_CVol</stp>
        <tr r="N23" s="1"/>
      </tp>
      <tp>
        <v>3792</v>
        <stp/>
        <stp>ContractData</stp>
        <stp>SO3??16</stp>
        <stp>Y_CVol</stp>
        <tr r="N24" s="1"/>
      </tp>
      <tp>
        <v>2764</v>
        <stp/>
        <stp>ContractData</stp>
        <stp>SO3??17</stp>
        <stp>Y_CVol</stp>
        <tr r="N26" s="1"/>
      </tp>
      <tp>
        <v>14244</v>
        <stp/>
        <stp>ContractData</stp>
        <stp>SO3??10</stp>
        <stp>Y_CVol</stp>
        <tr r="N17" s="1"/>
      </tp>
      <tp>
        <v>12975</v>
        <stp/>
        <stp>ContractData</stp>
        <stp>SO3??11</stp>
        <stp>Y_CVol</stp>
        <tr r="N18" s="1"/>
      </tp>
      <tp>
        <v>13599</v>
        <stp/>
        <stp>ContractData</stp>
        <stp>SO3??12</stp>
        <stp>Y_CVol</stp>
        <tr r="N19" s="1"/>
      </tp>
      <tp>
        <v>7015</v>
        <stp/>
        <stp>ContractData</stp>
        <stp>SO3??13</stp>
        <stp>Y_CVol</stp>
        <tr r="N21" s="1"/>
      </tp>
      <tp>
        <v>0</v>
        <stp/>
        <stp>ContractData</stp>
        <stp>SO3??24</stp>
        <stp>Y_CVol</stp>
        <tr r="N34" s="1"/>
      </tp>
      <tp>
        <v>0</v>
        <stp/>
        <stp>ContractData</stp>
        <stp>SO3??25</stp>
        <stp>Y_CVol</stp>
        <tr r="N35" s="1"/>
      </tp>
      <tp>
        <v>304</v>
        <stp/>
        <stp>ContractData</stp>
        <stp>SO3??20</stp>
        <stp>Y_CVol</stp>
        <tr r="N29" s="1"/>
      </tp>
      <tp>
        <v>5</v>
        <stp/>
        <stp>ContractData</stp>
        <stp>SO3??21</stp>
        <stp>Y_CVol</stp>
        <tr r="N31" s="1"/>
      </tp>
      <tp>
        <v>3</v>
        <stp/>
        <stp>ContractData</stp>
        <stp>SO3??22</stp>
        <stp>Y_CVol</stp>
        <tr r="N32" s="1"/>
      </tp>
      <tp>
        <v>3</v>
        <stp/>
        <stp>ContractData</stp>
        <stp>SO3??23</stp>
        <stp>Y_CVol</stp>
        <tr r="N33" s="1"/>
      </tp>
      <tp>
        <v>604</v>
        <stp/>
        <stp>ContractData</stp>
        <stp>SO3??18</stp>
        <stp>T_CVol</stp>
        <tr r="K27" s="1"/>
      </tp>
      <tp>
        <v>357</v>
        <stp/>
        <stp>ContractData</stp>
        <stp>SO3??19</stp>
        <stp>T_CVol</stp>
        <tr r="K28" s="1"/>
      </tp>
      <tp>
        <v>3289</v>
        <stp/>
        <stp>ContractData</stp>
        <stp>SO3??14</stp>
        <stp>T_CVol</stp>
        <tr r="K22" s="1"/>
      </tp>
      <tp>
        <v>2506</v>
        <stp/>
        <stp>ContractData</stp>
        <stp>SO3??15</stp>
        <stp>T_CVol</stp>
        <tr r="K23" s="1"/>
      </tp>
      <tp>
        <v>2447</v>
        <stp/>
        <stp>ContractData</stp>
        <stp>SO3??16</stp>
        <stp>T_CVol</stp>
        <tr r="K24" s="1"/>
      </tp>
      <tp>
        <v>1276</v>
        <stp/>
        <stp>ContractData</stp>
        <stp>SO3??17</stp>
        <stp>T_CVol</stp>
        <tr r="K26" s="1"/>
      </tp>
      <tp>
        <v>7700</v>
        <stp/>
        <stp>ContractData</stp>
        <stp>SO3??10</stp>
        <stp>T_CVol</stp>
        <tr r="K17" s="1"/>
      </tp>
      <tp>
        <v>5800</v>
        <stp/>
        <stp>ContractData</stp>
        <stp>SO3??11</stp>
        <stp>T_CVol</stp>
        <tr r="K18" s="1"/>
      </tp>
      <tp>
        <v>4909</v>
        <stp/>
        <stp>ContractData</stp>
        <stp>SO3??12</stp>
        <stp>T_CVol</stp>
        <tr r="K19" s="1"/>
      </tp>
      <tp>
        <v>4004</v>
        <stp/>
        <stp>ContractData</stp>
        <stp>SO3??13</stp>
        <stp>T_CVol</stp>
        <tr r="K21" s="1"/>
      </tp>
      <tp>
        <v>2</v>
        <stp/>
        <stp>ContractData</stp>
        <stp>SO3??24</stp>
        <stp>T_CVol</stp>
        <tr r="K34" s="1"/>
      </tp>
      <tp>
        <v>2</v>
        <stp/>
        <stp>ContractData</stp>
        <stp>SO3??25</stp>
        <stp>T_CVol</stp>
        <tr r="K35" s="1"/>
      </tp>
      <tp>
        <v>40</v>
        <stp/>
        <stp>ContractData</stp>
        <stp>SO3??20</stp>
        <stp>T_CVol</stp>
        <tr r="K29" s="1"/>
      </tp>
      <tp>
        <v>4</v>
        <stp/>
        <stp>ContractData</stp>
        <stp>SO3??21</stp>
        <stp>T_CVol</stp>
        <tr r="K31" s="1"/>
      </tp>
      <tp>
        <v>3</v>
        <stp/>
        <stp>ContractData</stp>
        <stp>SO3??22</stp>
        <stp>T_CVol</stp>
        <tr r="K32" s="1"/>
      </tp>
      <tp>
        <v>1</v>
        <stp/>
        <stp>ContractData</stp>
        <stp>SO3??23</stp>
        <stp>T_CVol</stp>
        <tr r="K33" s="1"/>
      </tp>
      <tp>
        <v>2978.8</v>
        <stp/>
        <stp>StudyData</stp>
        <stp>SO3??1</stp>
        <stp>MA</stp>
        <stp>InputChoice=ContractVol,MAType=Sim,Period=10</stp>
        <stp>MA</stp>
        <stp/>
        <stp/>
        <stp>all</stp>
        <stp/>
        <stp/>
        <stp/>
        <stp>T</stp>
        <tr r="L6" s="1"/>
      </tp>
      <tp>
        <v>73745.7</v>
        <stp/>
        <stp>StudyData</stp>
        <stp>SO3??3</stp>
        <stp>MA</stp>
        <stp>InputChoice=ContractVol,MAType=Sim,Period=10</stp>
        <stp>MA</stp>
        <stp/>
        <stp/>
        <stp>all</stp>
        <stp/>
        <stp/>
        <stp/>
        <stp>T</stp>
        <tr r="L8" s="1"/>
      </tp>
      <tp>
        <v>62566.6</v>
        <stp/>
        <stp>StudyData</stp>
        <stp>SO3??2</stp>
        <stp>MA</stp>
        <stp>InputChoice=ContractVol,MAType=Sim,Period=10</stp>
        <stp>MA</stp>
        <stp/>
        <stp/>
        <stp>all</stp>
        <stp/>
        <stp/>
        <stp/>
        <stp>T</stp>
        <tr r="L7" s="1"/>
      </tp>
      <tp>
        <v>46484.3</v>
        <stp/>
        <stp>StudyData</stp>
        <stp>SO3??5</stp>
        <stp>MA</stp>
        <stp>InputChoice=ContractVol,MAType=Sim,Period=10</stp>
        <stp>MA</stp>
        <stp/>
        <stp/>
        <stp>all</stp>
        <stp/>
        <stp/>
        <stp/>
        <stp>T</stp>
        <tr r="L11" s="1"/>
      </tp>
      <tp>
        <v>63670.5</v>
        <stp/>
        <stp>StudyData</stp>
        <stp>SO3??4</stp>
        <stp>MA</stp>
        <stp>InputChoice=ContractVol,MAType=Sim,Period=10</stp>
        <stp>MA</stp>
        <stp/>
        <stp/>
        <stp>all</stp>
        <stp/>
        <stp/>
        <stp/>
        <stp>T</stp>
        <tr r="L9" s="1"/>
      </tp>
      <tp>
        <v>39340.400000000001</v>
        <stp/>
        <stp>StudyData</stp>
        <stp>SO3??7</stp>
        <stp>MA</stp>
        <stp>InputChoice=ContractVol,MAType=Sim,Period=10</stp>
        <stp>MA</stp>
        <stp/>
        <stp/>
        <stp>all</stp>
        <stp/>
        <stp/>
        <stp/>
        <stp>T</stp>
        <tr r="L13" s="1"/>
      </tp>
      <tp>
        <v>24135</v>
        <stp/>
        <stp>ContractData</stp>
        <stp>SO3??8</stp>
        <stp>T_CVol</stp>
        <tr r="K14" s="1"/>
      </tp>
      <tp>
        <v>18781</v>
        <stp/>
        <stp>ContractData</stp>
        <stp>SO3??9</stp>
        <stp>T_CVol</stp>
        <tr r="K16" s="1"/>
      </tp>
      <tp>
        <v>28044</v>
        <stp/>
        <stp>ContractData</stp>
        <stp>SO3??4</stp>
        <stp>T_CVol</stp>
        <tr r="K9" s="1"/>
      </tp>
      <tp>
        <v>19957</v>
        <stp/>
        <stp>ContractData</stp>
        <stp>SO3??5</stp>
        <stp>T_CVol</stp>
        <tr r="K11" s="1"/>
      </tp>
      <tp>
        <v>18840</v>
        <stp/>
        <stp>ContractData</stp>
        <stp>SO3??6</stp>
        <stp>T_CVol</stp>
        <tr r="K12" s="1"/>
      </tp>
      <tp>
        <v>14118</v>
        <stp/>
        <stp>ContractData</stp>
        <stp>SO3??7</stp>
        <stp>T_CVol</stp>
        <tr r="K13" s="1"/>
      </tp>
      <tp>
        <v>20</v>
        <stp/>
        <stp>ContractData</stp>
        <stp>SO3??1</stp>
        <stp>T_CVol</stp>
        <tr r="K6" s="1"/>
      </tp>
      <tp>
        <v>14308</v>
        <stp/>
        <stp>ContractData</stp>
        <stp>SO3??2</stp>
        <stp>T_CVol</stp>
        <tr r="K7" s="1"/>
      </tp>
      <tp>
        <v>26636</v>
        <stp/>
        <stp>ContractData</stp>
        <stp>SO3??3</stp>
        <stp>T_CVol</stp>
        <tr r="K8" s="1"/>
      </tp>
      <tp>
        <v>41592.300000000003</v>
        <stp/>
        <stp>StudyData</stp>
        <stp>SO3??6</stp>
        <stp>MA</stp>
        <stp>InputChoice=ContractVol,MAType=Sim,Period=10</stp>
        <stp>MA</stp>
        <stp/>
        <stp/>
        <stp>all</stp>
        <stp/>
        <stp/>
        <stp/>
        <stp>T</stp>
        <tr r="L12" s="1"/>
      </tp>
      <tp>
        <v>44306</v>
        <stp/>
        <stp>ContractData</stp>
        <stp>SO3??8</stp>
        <stp>Y_CVol</stp>
        <tr r="N14" s="1"/>
      </tp>
      <tp>
        <v>26228</v>
        <stp/>
        <stp>ContractData</stp>
        <stp>SO3??9</stp>
        <stp>Y_CVol</stp>
        <tr r="N16" s="1"/>
      </tp>
      <tp>
        <v>71993</v>
        <stp/>
        <stp>ContractData</stp>
        <stp>SO3??4</stp>
        <stp>Y_CVol</stp>
        <tr r="N9" s="1"/>
      </tp>
      <tp>
        <v>53607</v>
        <stp/>
        <stp>ContractData</stp>
        <stp>SO3??5</stp>
        <stp>Y_CVol</stp>
        <tr r="N11" s="1"/>
      </tp>
      <tp>
        <v>39280</v>
        <stp/>
        <stp>ContractData</stp>
        <stp>SO3??6</stp>
        <stp>Y_CVol</stp>
        <tr r="N12" s="1"/>
      </tp>
      <tp>
        <v>31431</v>
        <stp/>
        <stp>ContractData</stp>
        <stp>SO3??7</stp>
        <stp>Y_CVol</stp>
        <tr r="N13" s="1"/>
      </tp>
      <tp>
        <v>7534</v>
        <stp/>
        <stp>ContractData</stp>
        <stp>SO3??1</stp>
        <stp>Y_CVol</stp>
        <tr r="N6" s="1"/>
      </tp>
      <tp>
        <v>44478</v>
        <stp/>
        <stp>ContractData</stp>
        <stp>SO3??2</stp>
        <stp>Y_CVol</stp>
        <tr r="N7" s="1"/>
      </tp>
      <tp>
        <v>61087</v>
        <stp/>
        <stp>ContractData</stp>
        <stp>SO3??3</stp>
        <stp>Y_CVol</stp>
        <tr r="N8" s="1"/>
      </tp>
      <tp>
        <v>6.5</v>
        <stp/>
        <stp>StudyData</stp>
        <stp>SO3??23</stp>
        <stp>MA</stp>
        <stp>InputChoice=ContractVol,MAType=Sim,Period=10</stp>
        <stp>MA</stp>
        <stp/>
        <stp/>
        <stp>all</stp>
        <stp/>
        <stp/>
        <stp/>
        <stp>T</stp>
        <tr r="L33" s="1"/>
      </tp>
      <tp>
        <v>8591.2999999999993</v>
        <stp/>
        <stp>StudyData</stp>
        <stp>SO3??13</stp>
        <stp>MA</stp>
        <stp>InputChoice=ContractVol,MAType=Sim,Period=10</stp>
        <stp>MA</stp>
        <stp/>
        <stp/>
        <stp>all</stp>
        <stp/>
        <stp/>
        <stp/>
        <stp>T</stp>
        <tr r="L21" s="1"/>
      </tp>
      <tp>
        <v>17.5</v>
        <stp/>
        <stp>StudyData</stp>
        <stp>SO3??22</stp>
        <stp>MA</stp>
        <stp>InputChoice=ContractVol,MAType=Sim,Period=10</stp>
        <stp>MA</stp>
        <stp/>
        <stp/>
        <stp>all</stp>
        <stp/>
        <stp/>
        <stp/>
        <stp>T</stp>
        <tr r="L32" s="1"/>
      </tp>
      <tp>
        <v>12861.8</v>
        <stp/>
        <stp>StudyData</stp>
        <stp>SO3??12</stp>
        <stp>MA</stp>
        <stp>InputChoice=ContractVol,MAType=Sim,Period=10</stp>
        <stp>MA</stp>
        <stp/>
        <stp/>
        <stp>all</stp>
        <stp/>
        <stp/>
        <stp/>
        <stp>T</stp>
        <tr r="L19" s="1"/>
      </tp>
      <tp>
        <v>49.9</v>
        <stp/>
        <stp>StudyData</stp>
        <stp>SO3??21</stp>
        <stp>MA</stp>
        <stp>InputChoice=ContractVol,MAType=Sim,Period=10</stp>
        <stp>MA</stp>
        <stp/>
        <stp/>
        <stp>all</stp>
        <stp/>
        <stp/>
        <stp/>
        <stp>T</stp>
        <tr r="L31" s="1"/>
      </tp>
      <tp>
        <v>14015.2</v>
        <stp/>
        <stp>StudyData</stp>
        <stp>SO3??11</stp>
        <stp>MA</stp>
        <stp>InputChoice=ContractVol,MAType=Sim,Period=10</stp>
        <stp>MA</stp>
        <stp/>
        <stp/>
        <stp>all</stp>
        <stp/>
        <stp/>
        <stp/>
        <stp>T</stp>
        <tr r="L18" s="1"/>
      </tp>
      <tp>
        <v>511.9</v>
        <stp/>
        <stp>StudyData</stp>
        <stp>SO3??20</stp>
        <stp>MA</stp>
        <stp>InputChoice=ContractVol,MAType=Sim,Period=10</stp>
        <stp>MA</stp>
        <stp/>
        <stp/>
        <stp>all</stp>
        <stp/>
        <stp/>
        <stp/>
        <stp>T</stp>
        <tr r="L29" s="1"/>
      </tp>
      <tp>
        <v>16535.599999999999</v>
        <stp/>
        <stp>StudyData</stp>
        <stp>SO3??10</stp>
        <stp>MA</stp>
        <stp>InputChoice=ContractVol,MAType=Sim,Period=10</stp>
        <stp>MA</stp>
        <stp/>
        <stp/>
        <stp>all</stp>
        <stp/>
        <stp/>
        <stp/>
        <stp>T</stp>
        <tr r="L17" s="1"/>
      </tp>
      <tp>
        <v>3264.4</v>
        <stp/>
        <stp>StudyData</stp>
        <stp>SO3??17</stp>
        <stp>MA</stp>
        <stp>InputChoice=ContractVol,MAType=Sim,Period=10</stp>
        <stp>MA</stp>
        <stp/>
        <stp/>
        <stp>all</stp>
        <stp/>
        <stp/>
        <stp/>
        <stp>T</stp>
        <tr r="L26" s="1"/>
      </tp>
      <tp>
        <v>4376.8</v>
        <stp/>
        <stp>StudyData</stp>
        <stp>SO3??16</stp>
        <stp>MA</stp>
        <stp>InputChoice=ContractVol,MAType=Sim,Period=10</stp>
        <stp>MA</stp>
        <stp/>
        <stp/>
        <stp>all</stp>
        <stp/>
        <stp/>
        <stp/>
        <stp>T</stp>
        <tr r="L24" s="1"/>
      </tp>
      <tp t="s">
        <v/>
        <stp/>
        <stp>StudyData</stp>
        <stp>SO3??25</stp>
        <stp>MA</stp>
        <stp>InputChoice=ContractVol,MAType=Sim,Period=10</stp>
        <stp>MA</stp>
        <stp/>
        <stp/>
        <stp>all</stp>
        <stp/>
        <stp/>
        <stp/>
        <stp>T</stp>
        <tr r="L35" s="1"/>
      </tp>
      <tp>
        <v>4501.8</v>
        <stp/>
        <stp>StudyData</stp>
        <stp>SO3??15</stp>
        <stp>MA</stp>
        <stp>InputChoice=ContractVol,MAType=Sim,Period=10</stp>
        <stp>MA</stp>
        <stp/>
        <stp/>
        <stp>all</stp>
        <stp/>
        <stp/>
        <stp/>
        <stp>T</stp>
        <tr r="L23" s="1"/>
      </tp>
      <tp>
        <v>3.8</v>
        <stp/>
        <stp>StudyData</stp>
        <stp>SO3??24</stp>
        <stp>MA</stp>
        <stp>InputChoice=ContractVol,MAType=Sim,Period=10</stp>
        <stp>MA</stp>
        <stp/>
        <stp/>
        <stp>all</stp>
        <stp/>
        <stp/>
        <stp/>
        <stp>T</stp>
        <tr r="L34" s="1"/>
      </tp>
      <tp>
        <v>4248.3999999999996</v>
        <stp/>
        <stp>StudyData</stp>
        <stp>SO3??14</stp>
        <stp>MA</stp>
        <stp>InputChoice=ContractVol,MAType=Sim,Period=10</stp>
        <stp>MA</stp>
        <stp/>
        <stp/>
        <stp>all</stp>
        <stp/>
        <stp/>
        <stp/>
        <stp>T</stp>
        <tr r="L22" s="1"/>
      </tp>
      <tp>
        <v>949</v>
        <stp/>
        <stp>StudyData</stp>
        <stp>SO3??19</stp>
        <stp>MA</stp>
        <stp>InputChoice=ContractVol,MAType=Sim,Period=10</stp>
        <stp>MA</stp>
        <stp/>
        <stp/>
        <stp>all</stp>
        <stp/>
        <stp/>
        <stp/>
        <stp>T</stp>
        <tr r="L28" s="1"/>
      </tp>
      <tp>
        <v>1811.7</v>
        <stp/>
        <stp>StudyData</stp>
        <stp>SO3??18</stp>
        <stp>MA</stp>
        <stp>InputChoice=ContractVol,MAType=Sim,Period=10</stp>
        <stp>MA</stp>
        <stp/>
        <stp/>
        <stp>all</stp>
        <stp/>
        <stp/>
        <stp/>
        <stp>T</stp>
        <tr r="L27" s="1"/>
      </tp>
      <tp>
        <v>46735</v>
        <stp/>
        <stp>ContractData</stp>
        <stp>SO3??19</stp>
        <stp>ExpirationDate</stp>
        <stp/>
        <stp>D</stp>
        <tr r="F28" s="1"/>
      </tp>
      <tp>
        <v>46644</v>
        <stp/>
        <stp>ContractData</stp>
        <stp>SO3??18</stp>
        <stp>ExpirationDate</stp>
        <stp/>
        <stp>D</stp>
        <tr r="F27" s="1"/>
      </tp>
      <tp>
        <v>46553</v>
        <stp/>
        <stp>ContractData</stp>
        <stp>SO3??17</stp>
        <stp>ExpirationDate</stp>
        <stp/>
        <stp>D</stp>
        <tr r="F26" s="1"/>
      </tp>
      <tp>
        <v>46462</v>
        <stp/>
        <stp>ContractData</stp>
        <stp>SO3??16</stp>
        <stp>ExpirationDate</stp>
        <stp/>
        <stp>D</stp>
        <tr r="F24" s="1"/>
      </tp>
      <tp>
        <v>46371</v>
        <stp/>
        <stp>ContractData</stp>
        <stp>SO3??15</stp>
        <stp>ExpirationDate</stp>
        <stp/>
        <stp>D</stp>
        <tr r="F23" s="1"/>
      </tp>
      <tp>
        <v>47288</v>
        <stp/>
        <stp>ContractData</stp>
        <stp>SO3??25</stp>
        <stp>ExpirationDate</stp>
        <stp/>
        <stp>D</stp>
        <tr r="F35" s="1"/>
      </tp>
      <tp>
        <v>46280</v>
        <stp/>
        <stp>ContractData</stp>
        <stp>SO3??14</stp>
        <stp>ExpirationDate</stp>
        <stp/>
        <stp>D</stp>
        <tr r="F22" s="1"/>
      </tp>
      <tp>
        <v>47197</v>
        <stp/>
        <stp>ContractData</stp>
        <stp>SO3??24</stp>
        <stp>ExpirationDate</stp>
        <stp/>
        <stp>D</stp>
        <tr r="F34" s="1"/>
      </tp>
      <tp>
        <v>46189</v>
        <stp/>
        <stp>ContractData</stp>
        <stp>SO3??13</stp>
        <stp>ExpirationDate</stp>
        <stp/>
        <stp>D</stp>
        <tr r="F21" s="1"/>
      </tp>
      <tp>
        <v>47106</v>
        <stp/>
        <stp>ContractData</stp>
        <stp>SO3??23</stp>
        <stp>ExpirationDate</stp>
        <stp/>
        <stp>D</stp>
        <tr r="F33" s="1"/>
      </tp>
      <tp>
        <v>46098</v>
        <stp/>
        <stp>ContractData</stp>
        <stp>SO3??12</stp>
        <stp>ExpirationDate</stp>
        <stp/>
        <stp>D</stp>
        <tr r="F19" s="1"/>
      </tp>
      <tp>
        <v>47015</v>
        <stp/>
        <stp>ContractData</stp>
        <stp>SO3??22</stp>
        <stp>ExpirationDate</stp>
        <stp/>
        <stp>D</stp>
        <tr r="F32" s="1"/>
      </tp>
      <tp>
        <v>46007</v>
        <stp/>
        <stp>ContractData</stp>
        <stp>SO3??11</stp>
        <stp>ExpirationDate</stp>
        <stp/>
        <stp>D</stp>
        <tr r="F18" s="1"/>
      </tp>
      <tp>
        <v>46924</v>
        <stp/>
        <stp>ContractData</stp>
        <stp>SO3??21</stp>
        <stp>ExpirationDate</stp>
        <stp/>
        <stp>D</stp>
        <tr r="F31" s="1"/>
      </tp>
      <tp>
        <v>45916</v>
        <stp/>
        <stp>ContractData</stp>
        <stp>SO3??10</stp>
        <stp>ExpirationDate</stp>
        <stp/>
        <stp>D</stp>
        <tr r="F17" s="1"/>
      </tp>
      <tp>
        <v>46826</v>
        <stp/>
        <stp>ContractData</stp>
        <stp>SO3??20</stp>
        <stp>ExpirationDate</stp>
        <stp/>
        <stp>D</stp>
        <tr r="F29" s="1"/>
      </tp>
      <tp>
        <v>45072</v>
        <stp/>
        <stp>StudyData</stp>
        <stp>SO3</stp>
        <stp>Bar</stp>
        <stp/>
        <stp>Time</stp>
        <stp>D</stp>
        <stp>-1</stp>
        <stp/>
        <stp/>
        <stp/>
        <stp/>
        <stp>T</stp>
        <tr r="C39" s="1"/>
      </tp>
      <tp>
        <v>17745</v>
        <stp/>
        <stp>ContractData</stp>
        <stp>SO3??16</stp>
        <stp>COI</stp>
        <tr r="U24" s="1"/>
      </tp>
      <tp>
        <v>22252</v>
        <stp/>
        <stp>ContractData</stp>
        <stp>SO3??17</stp>
        <stp>COI</stp>
        <tr r="U26" s="1"/>
      </tp>
      <tp>
        <v>15659</v>
        <stp/>
        <stp>ContractData</stp>
        <stp>SO3??14</stp>
        <stp>COI</stp>
        <tr r="U22" s="1"/>
      </tp>
      <tp>
        <v>14795</v>
        <stp/>
        <stp>ContractData</stp>
        <stp>SO3??15</stp>
        <stp>COI</stp>
        <tr r="U23" s="1"/>
      </tp>
      <tp>
        <v>46141</v>
        <stp/>
        <stp>ContractData</stp>
        <stp>SO3??12</stp>
        <stp>COI</stp>
        <tr r="U19" s="1"/>
      </tp>
      <tp>
        <v>41513</v>
        <stp/>
        <stp>ContractData</stp>
        <stp>SO3??13</stp>
        <stp>COI</stp>
        <tr r="U21" s="1"/>
      </tp>
      <tp>
        <v>47706</v>
        <stp/>
        <stp>ContractData</stp>
        <stp>SO3??10</stp>
        <stp>COI</stp>
        <tr r="U17" s="1"/>
      </tp>
      <tp>
        <v>39519</v>
        <stp/>
        <stp>ContractData</stp>
        <stp>SO3??11</stp>
        <stp>COI</stp>
        <tr r="U18" s="1"/>
      </tp>
      <tp>
        <v>8205</v>
        <stp/>
        <stp>ContractData</stp>
        <stp>SO3??18</stp>
        <stp>COI</stp>
        <tr r="U27" s="1"/>
      </tp>
      <tp>
        <v>3710</v>
        <stp/>
        <stp>ContractData</stp>
        <stp>SO3??19</stp>
        <stp>COI</stp>
        <tr r="U28" s="1"/>
      </tp>
      <tp>
        <v>22</v>
        <stp/>
        <stp>ContractData</stp>
        <stp>SO3??24</stp>
        <stp>COI</stp>
        <tr r="U34" s="1"/>
      </tp>
      <tp>
        <v>0</v>
        <stp/>
        <stp>ContractData</stp>
        <stp>SO3??25</stp>
        <stp>COI</stp>
        <tr r="U35" s="1"/>
      </tp>
      <tp>
        <v>199</v>
        <stp/>
        <stp>ContractData</stp>
        <stp>SO3??22</stp>
        <stp>COI</stp>
        <tr r="U32" s="1"/>
      </tp>
      <tp>
        <v>75</v>
        <stp/>
        <stp>ContractData</stp>
        <stp>SO3??23</stp>
        <stp>COI</stp>
        <tr r="U33" s="1"/>
      </tp>
      <tp>
        <v>2974</v>
        <stp/>
        <stp>ContractData</stp>
        <stp>SO3??20</stp>
        <stp>COI</stp>
        <tr r="U29" s="1"/>
      </tp>
      <tp>
        <v>490</v>
        <stp/>
        <stp>ContractData</stp>
        <stp>SO3??21</stp>
        <stp>COI</stp>
        <tr r="U31" s="1"/>
      </tp>
      <tp>
        <v>6</v>
        <stp/>
        <stp>StudyData</stp>
        <stp>Vol(SO3??18) when (LocalDay(SO3??18)=26 and LocalHour(SO3??18)=7 and LocalMinute(SO3??18)=30)</stp>
        <stp>Bar</stp>
        <stp/>
        <stp>Vol</stp>
        <stp>5</stp>
        <stp>0</stp>
        <tr r="AA27" s="1"/>
      </tp>
      <tp t="s">
        <v>DEC</v>
        <stp/>
        <stp>ContractData</stp>
        <stp>SO3??8</stp>
        <stp>Contractmonth</stp>
        <tr r="H14" s="1"/>
        <tr r="H14" s="1"/>
        <tr r="H14" s="1"/>
        <tr r="H14" s="1"/>
      </tp>
      <tp>
        <v>4</v>
        <stp/>
        <stp>StudyData</stp>
        <stp>Vol(SO3??19) when (LocalDay(SO3??19)=26 and LocalHour(SO3??19)=7 and LocalMinute(SO3??19)=30)</stp>
        <stp>Bar</stp>
        <stp/>
        <stp>Vol</stp>
        <stp>5</stp>
        <stp>0</stp>
        <tr r="AA28" s="1"/>
      </tp>
      <tp>
        <v>120</v>
        <stp/>
        <stp>StudyData</stp>
        <stp>Vol(SO3??14) when (LocalDay(SO3??14)=26 and LocalHour(SO3??14)=7 and LocalMinute(SO3??14)=30)</stp>
        <stp>Bar</stp>
        <stp/>
        <stp>Vol</stp>
        <stp>5</stp>
        <stp>0</stp>
        <tr r="AA22" s="1"/>
      </tp>
      <tp t="s">
        <v>DEC</v>
        <stp/>
        <stp>ContractData</stp>
        <stp>SO3??4</stp>
        <stp>Contractmonth</stp>
        <tr r="H9" s="1"/>
        <tr r="H9" s="1"/>
        <tr r="H9" s="1"/>
        <tr r="H9" s="1"/>
      </tp>
      <tp>
        <v>49</v>
        <stp/>
        <stp>StudyData</stp>
        <stp>Vol(SO3??15) when (LocalDay(SO3??15)=26 and LocalHour(SO3??15)=7 and LocalMinute(SO3??15)=30)</stp>
        <stp>Bar</stp>
        <stp/>
        <stp>Vol</stp>
        <stp>5</stp>
        <stp>0</stp>
        <tr r="AA23" s="1"/>
      </tp>
      <tp t="s">
        <v>MAR</v>
        <stp/>
        <stp>ContractData</stp>
        <stp>SO3??5</stp>
        <stp>Contractmonth</stp>
        <tr r="H11" s="1"/>
        <tr r="H11" s="1"/>
        <tr r="H11" s="1"/>
        <tr r="H11" s="1"/>
      </tp>
      <tp>
        <v>27</v>
        <stp/>
        <stp>StudyData</stp>
        <stp>Vol(SO3??16) when (LocalDay(SO3??16)=26 and LocalHour(SO3??16)=7 and LocalMinute(SO3??16)=30)</stp>
        <stp>Bar</stp>
        <stp/>
        <stp>Vol</stp>
        <stp>5</stp>
        <stp>0</stp>
        <tr r="AA24" s="1"/>
      </tp>
      <tp>
        <v>0</v>
        <stp/>
        <stp>StudyData</stp>
        <stp>Vol(SO3??25) when (LocalDay(SO3??25)=26 and LocalHour(SO3??25)=7 and LocalMinute(SO3??25)=30)</stp>
        <stp>Bar</stp>
        <stp/>
        <stp>Vol</stp>
        <stp>5</stp>
        <stp>0</stp>
        <tr r="AA35" s="1"/>
      </tp>
      <tp t="s">
        <v>JUN</v>
        <stp/>
        <stp>ContractData</stp>
        <stp>SO3??6</stp>
        <stp>Contractmonth</stp>
        <tr r="H12" s="1"/>
        <tr r="H12" s="1"/>
        <tr r="H12" s="1"/>
        <tr r="H12" s="1"/>
      </tp>
      <tp>
        <v>21</v>
        <stp/>
        <stp>StudyData</stp>
        <stp>Vol(SO3??17) when (LocalDay(SO3??17)=26 and LocalHour(SO3??17)=7 and LocalMinute(SO3??17)=30)</stp>
        <stp>Bar</stp>
        <stp/>
        <stp>Vol</stp>
        <stp>5</stp>
        <stp>0</stp>
        <tr r="AA26" s="1"/>
      </tp>
      <tp>
        <v>0</v>
        <stp/>
        <stp>StudyData</stp>
        <stp>Vol(SO3??24) when (LocalDay(SO3??24)=26 and LocalHour(SO3??24)=7 and LocalMinute(SO3??24)=30)</stp>
        <stp>Bar</stp>
        <stp/>
        <stp>Vol</stp>
        <stp>5</stp>
        <stp>0</stp>
        <tr r="AA34" s="1"/>
      </tp>
      <tp t="s">
        <v>SEP</v>
        <stp/>
        <stp>ContractData</stp>
        <stp>SO3??7</stp>
        <stp>Contractmonth</stp>
        <tr r="H13" s="1"/>
        <tr r="H13" s="1"/>
        <tr r="H13" s="1"/>
        <tr r="H13" s="1"/>
      </tp>
      <tp>
        <v>0</v>
        <stp/>
        <stp>StudyData</stp>
        <stp>Vol(SO3??23) when (LocalDay(SO3??23)=26 and LocalHour(SO3??23)=7 and LocalMinute(SO3??23)=30)</stp>
        <stp>Bar</stp>
        <stp/>
        <stp>Vol</stp>
        <stp>5</stp>
        <stp>0</stp>
        <tr r="AA33" s="1"/>
      </tp>
      <tp>
        <v>419</v>
        <stp/>
        <stp>StudyData</stp>
        <stp>Vol(SO3??10) when (LocalDay(SO3??10)=26 and LocalHour(SO3??10)=7 and LocalMinute(SO3??10)=30)</stp>
        <stp>Bar</stp>
        <stp/>
        <stp>Vol</stp>
        <stp>5</stp>
        <stp>0</stp>
        <tr r="AA17" s="1"/>
      </tp>
      <tp>
        <v>0</v>
        <stp/>
        <stp>StudyData</stp>
        <stp>Vol(SO3??22) when (LocalDay(SO3??22)=26 and LocalHour(SO3??22)=7 and LocalMinute(SO3??22)=30)</stp>
        <stp>Bar</stp>
        <stp/>
        <stp>Vol</stp>
        <stp>5</stp>
        <stp>0</stp>
        <tr r="AA32" s="1"/>
      </tp>
      <tp>
        <v>375</v>
        <stp/>
        <stp>StudyData</stp>
        <stp>Vol(SO3??11) when (LocalDay(SO3??11)=26 and LocalHour(SO3??11)=7 and LocalMinute(SO3??11)=30)</stp>
        <stp>Bar</stp>
        <stp/>
        <stp>Vol</stp>
        <stp>5</stp>
        <stp>0</stp>
        <tr r="AA18" s="1"/>
      </tp>
      <tp t="s">
        <v>MAR</v>
        <stp/>
        <stp>ContractData</stp>
        <stp>SO3??1</stp>
        <stp>Contractmonth</stp>
        <tr r="H6" s="1"/>
        <tr r="H6" s="1"/>
        <tr r="H6" s="1"/>
        <tr r="H6" s="1"/>
      </tp>
      <tp>
        <v>256</v>
        <stp/>
        <stp>StudyData</stp>
        <stp>Vol(SO3??12) when (LocalDay(SO3??12)=26 and LocalHour(SO3??12)=7 and LocalMinute(SO3??12)=30)</stp>
        <stp>Bar</stp>
        <stp/>
        <stp>Vol</stp>
        <stp>5</stp>
        <stp>0</stp>
        <tr r="AA19" s="1"/>
      </tp>
      <tp>
        <v>0</v>
        <stp/>
        <stp>StudyData</stp>
        <stp>Vol(SO3??21) when (LocalDay(SO3??21)=26 and LocalHour(SO3??21)=7 and LocalMinute(SO3??21)=30)</stp>
        <stp>Bar</stp>
        <stp/>
        <stp>Vol</stp>
        <stp>5</stp>
        <stp>0</stp>
        <tr r="AA31" s="1"/>
      </tp>
      <tp t="s">
        <v>JUN</v>
        <stp/>
        <stp>ContractData</stp>
        <stp>SO3??2</stp>
        <stp>Contractmonth</stp>
        <tr r="H7" s="1"/>
        <tr r="H7" s="1"/>
        <tr r="H7" s="1"/>
        <tr r="H7" s="1"/>
      </tp>
      <tp>
        <v>12028</v>
        <stp/>
        <stp>StudyData</stp>
        <stp>(MA(SO3??1,Period:=12,MAType:=Sim,InputChoice:=ContractVol) when LocalYear(SO3??1)=2023 And (LocalMonth(SO3??1)=5 And LocalDay(SO3??1)=12 ))</stp>
        <stp>Bar</stp>
        <stp/>
        <stp>Close</stp>
        <stp>D</stp>
        <stp>0</stp>
        <stp>all</stp>
        <stp/>
        <stp/>
        <stp>False</stp>
        <stp/>
        <stp/>
        <tr r="P6" s="1"/>
      </tp>
      <tp>
        <v>39108</v>
        <stp/>
        <stp>StudyData</stp>
        <stp>(MA(SO3??2,Period:=12,MAType:=Sim,InputChoice:=ContractVol) when LocalYear(SO3??2)=2023 And (LocalMonth(SO3??2)=5 And LocalDay(SO3??2)=12 ))</stp>
        <stp>Bar</stp>
        <stp/>
        <stp>Close</stp>
        <stp>D</stp>
        <stp>0</stp>
        <stp>all</stp>
        <stp/>
        <stp/>
        <stp>False</stp>
        <stp/>
        <stp/>
        <tr r="P7" s="1"/>
      </tp>
      <tp>
        <v>42121</v>
        <stp/>
        <stp>StudyData</stp>
        <stp>(MA(SO3??3,Period:=12,MAType:=Sim,InputChoice:=ContractVol) when LocalYear(SO3??3)=2023 And (LocalMonth(SO3??3)=5 And LocalDay(SO3??3)=12 ))</stp>
        <stp>Bar</stp>
        <stp/>
        <stp>Close</stp>
        <stp>D</stp>
        <stp>0</stp>
        <stp>all</stp>
        <stp/>
        <stp/>
        <stp>False</stp>
        <stp/>
        <stp/>
        <tr r="P8" s="1"/>
      </tp>
      <tp>
        <v>35220</v>
        <stp/>
        <stp>StudyData</stp>
        <stp>(MA(SO3??4,Period:=12,MAType:=Sim,InputChoice:=ContractVol) when LocalYear(SO3??4)=2023 And (LocalMonth(SO3??4)=5 And LocalDay(SO3??4)=12 ))</stp>
        <stp>Bar</stp>
        <stp/>
        <stp>Close</stp>
        <stp>D</stp>
        <stp>0</stp>
        <stp>all</stp>
        <stp/>
        <stp/>
        <stp>False</stp>
        <stp/>
        <stp/>
        <tr r="P9" s="1"/>
      </tp>
      <tp>
        <v>26379</v>
        <stp/>
        <stp>StudyData</stp>
        <stp>(MA(SO3??5,Period:=12,MAType:=Sim,InputChoice:=ContractVol) when LocalYear(SO3??5)=2023 And (LocalMonth(SO3??5)=5 And LocalDay(SO3??5)=12 ))</stp>
        <stp>Bar</stp>
        <stp/>
        <stp>Close</stp>
        <stp>D</stp>
        <stp>0</stp>
        <stp>all</stp>
        <stp/>
        <stp/>
        <stp>False</stp>
        <stp/>
        <stp/>
        <tr r="P11" s="1"/>
      </tp>
      <tp>
        <v>24402</v>
        <stp/>
        <stp>StudyData</stp>
        <stp>(MA(SO3??6,Period:=12,MAType:=Sim,InputChoice:=ContractVol) when LocalYear(SO3??6)=2023 And (LocalMonth(SO3??6)=5 And LocalDay(SO3??6)=12 ))</stp>
        <stp>Bar</stp>
        <stp/>
        <stp>Close</stp>
        <stp>D</stp>
        <stp>0</stp>
        <stp>all</stp>
        <stp/>
        <stp/>
        <stp>False</stp>
        <stp/>
        <stp/>
        <tr r="P12" s="1"/>
      </tp>
      <tp>
        <v>25499</v>
        <stp/>
        <stp>StudyData</stp>
        <stp>(MA(SO3??7,Period:=12,MAType:=Sim,InputChoice:=ContractVol) when LocalYear(SO3??7)=2023 And (LocalMonth(SO3??7)=5 And LocalDay(SO3??7)=12 ))</stp>
        <stp>Bar</stp>
        <stp/>
        <stp>Close</stp>
        <stp>D</stp>
        <stp>0</stp>
        <stp>all</stp>
        <stp/>
        <stp/>
        <stp>False</stp>
        <stp/>
        <stp/>
        <tr r="P13" s="1"/>
      </tp>
      <tp>
        <v>25492</v>
        <stp/>
        <stp>StudyData</stp>
        <stp>(MA(SO3??8,Period:=12,MAType:=Sim,InputChoice:=ContractVol) when LocalYear(SO3??8)=2023 And (LocalMonth(SO3??8)=5 And LocalDay(SO3??8)=12 ))</stp>
        <stp>Bar</stp>
        <stp/>
        <stp>Close</stp>
        <stp>D</stp>
        <stp>0</stp>
        <stp>all</stp>
        <stp/>
        <stp/>
        <stp>False</stp>
        <stp/>
        <stp/>
        <tr r="P14" s="1"/>
      </tp>
      <tp>
        <v>18625</v>
        <stp/>
        <stp>StudyData</stp>
        <stp>(MA(SO3??9,Period:=12,MAType:=Sim,InputChoice:=ContractVol) when LocalYear(SO3??9)=2023 And (LocalMonth(SO3??9)=5 And LocalDay(SO3??9)=12 ))</stp>
        <stp>Bar</stp>
        <stp/>
        <stp>Close</stp>
        <stp>D</stp>
        <stp>0</stp>
        <stp>all</stp>
        <stp/>
        <stp/>
        <stp>False</stp>
        <stp/>
        <stp/>
        <tr r="P16" s="1"/>
      </tp>
      <tp>
        <v>106</v>
        <stp/>
        <stp>StudyData</stp>
        <stp>Vol(SO3??13) when (LocalDay(SO3??13)=26 and LocalHour(SO3??13)=7 and LocalMinute(SO3??13)=30)</stp>
        <stp>Bar</stp>
        <stp/>
        <stp>Vol</stp>
        <stp>5</stp>
        <stp>0</stp>
        <tr r="AA21" s="1"/>
      </tp>
      <tp>
        <v>4</v>
        <stp/>
        <stp>StudyData</stp>
        <stp>Vol(SO3??20) when (LocalDay(SO3??20)=26 and LocalHour(SO3??20)=7 and LocalMinute(SO3??20)=30)</stp>
        <stp>Bar</stp>
        <stp/>
        <stp>Vol</stp>
        <stp>5</stp>
        <stp>0</stp>
        <tr r="AA29" s="1"/>
      </tp>
      <tp t="s">
        <v>SEP</v>
        <stp/>
        <stp>ContractData</stp>
        <stp>SO3??3</stp>
        <stp>Contractmonth</stp>
        <tr r="H8" s="1"/>
        <tr r="H8" s="1"/>
        <tr r="H8" s="1"/>
        <tr r="H8" s="1"/>
      </tp>
      <tp>
        <v>12</v>
        <stp/>
        <stp>StudyData</stp>
        <stp>Vol(SO3??1) when (LocalDay(SO3??1)=26 and LocalHour(SO3??1)=7 and LocalMinute(SO3??1)=30)</stp>
        <stp>Bar</stp>
        <stp/>
        <stp>Vol</stp>
        <stp>5</stp>
        <stp>0</stp>
        <tr r="AA6" s="1"/>
      </tp>
      <tp>
        <v>2888</v>
        <stp/>
        <stp>StudyData</stp>
        <stp>Vol(SO3??2) when (LocalDay(SO3??2)=26 and LocalHour(SO3??2)=7 and LocalMinute(SO3??2)=30)</stp>
        <stp>Bar</stp>
        <stp/>
        <stp>Vol</stp>
        <stp>5</stp>
        <stp>0</stp>
        <tr r="AA7" s="1"/>
      </tp>
      <tp>
        <v>1583</v>
        <stp/>
        <stp>StudyData</stp>
        <stp>Vol(SO3??3) when (LocalDay(SO3??3)=26 and LocalHour(SO3??3)=7 and LocalMinute(SO3??3)=30)</stp>
        <stp>Bar</stp>
        <stp/>
        <stp>Vol</stp>
        <stp>5</stp>
        <stp>0</stp>
        <tr r="AA8" s="1"/>
      </tp>
      <tp>
        <v>1420</v>
        <stp/>
        <stp>StudyData</stp>
        <stp>Vol(SO3??4) when (LocalDay(SO3??4)=26 and LocalHour(SO3??4)=7 and LocalMinute(SO3??4)=30)</stp>
        <stp>Bar</stp>
        <stp/>
        <stp>Vol</stp>
        <stp>5</stp>
        <stp>0</stp>
        <tr r="AA9" s="1"/>
      </tp>
      <tp>
        <v>890</v>
        <stp/>
        <stp>StudyData</stp>
        <stp>Vol(SO3??5) when (LocalDay(SO3??5)=26 and LocalHour(SO3??5)=7 and LocalMinute(SO3??5)=30)</stp>
        <stp>Bar</stp>
        <stp/>
        <stp>Vol</stp>
        <stp>5</stp>
        <stp>0</stp>
        <tr r="AA11" s="1"/>
      </tp>
      <tp>
        <v>45076.312696759262</v>
        <stp/>
        <stp>SystemInfo</stp>
        <stp>Linetime</stp>
        <tr r="U37" s="1"/>
        <tr r="AA2" s="1"/>
        <tr r="N37" s="1"/>
        <tr r="Y37" s="1"/>
        <tr r="E2" s="1"/>
        <tr r="AC61" s="1"/>
      </tp>
      <tp>
        <v>330</v>
        <stp/>
        <stp>StudyData</stp>
        <stp>Vol(SO3??6) when (LocalDay(SO3??6)=26 and LocalHour(SO3??6)=7 and LocalMinute(SO3??6)=30)</stp>
        <stp>Bar</stp>
        <stp/>
        <stp>Vol</stp>
        <stp>5</stp>
        <stp>0</stp>
        <tr r="AA12" s="1"/>
      </tp>
      <tp>
        <v>502</v>
        <stp/>
        <stp>StudyData</stp>
        <stp>Vol(SO3??7) when (LocalDay(SO3??7)=26 and LocalHour(SO3??7)=7 and LocalMinute(SO3??7)=30)</stp>
        <stp>Bar</stp>
        <stp/>
        <stp>Vol</stp>
        <stp>5</stp>
        <stp>0</stp>
        <tr r="AA13" s="1"/>
      </tp>
      <tp>
        <v>1014</v>
        <stp/>
        <stp>StudyData</stp>
        <stp>Vol(SO3??8) when (LocalDay(SO3??8)=26 and LocalHour(SO3??8)=7 and LocalMinute(SO3??8)=30)</stp>
        <stp>Bar</stp>
        <stp/>
        <stp>Vol</stp>
        <stp>5</stp>
        <stp>0</stp>
        <tr r="AA14" s="1"/>
      </tp>
      <tp>
        <v>284</v>
        <stp/>
        <stp>StudyData</stp>
        <stp>Vol(SO3??9) when (LocalDay(SO3??9)=26 and LocalHour(SO3??9)=7 and LocalMinute(SO3??9)=30)</stp>
        <stp>Bar</stp>
        <stp/>
        <stp>Vol</stp>
        <stp>5</stp>
        <stp>0</stp>
        <tr r="AA16" s="1"/>
      </tp>
      <tp t="s">
        <v>Three Month SONIA, Dec 24</v>
        <stp/>
        <stp>ContractData</stp>
        <stp>SO3??8</stp>
        <stp>LongDescription</stp>
        <tr r="B14" s="1"/>
      </tp>
      <tp t="s">
        <v>Three Month SONIA, Mar 25</v>
        <stp/>
        <stp>ContractData</stp>
        <stp>SO3??9</stp>
        <stp>LongDescription</stp>
        <tr r="B16" s="1"/>
      </tp>
      <tp t="s">
        <v>Three Month SONIA, Dec 23</v>
        <stp/>
        <stp>ContractData</stp>
        <stp>SO3??4</stp>
        <stp>LongDescription</stp>
        <tr r="B9" s="1"/>
      </tp>
      <tp t="s">
        <v>Three Month SONIA, Mar 24</v>
        <stp/>
        <stp>ContractData</stp>
        <stp>SO3??5</stp>
        <stp>LongDescription</stp>
        <tr r="B11" s="1"/>
      </tp>
      <tp t="s">
        <v>Three Month SONIA, Jun 24</v>
        <stp/>
        <stp>ContractData</stp>
        <stp>SO3??6</stp>
        <stp>LongDescription</stp>
        <tr r="B12" s="1"/>
      </tp>
      <tp t="s">
        <v>Three Month SONIA, Sep 24</v>
        <stp/>
        <stp>ContractData</stp>
        <stp>SO3??7</stp>
        <stp>LongDescription</stp>
        <tr r="B13" s="1"/>
      </tp>
      <tp t="s">
        <v>Three Month SONIA, Mar 23</v>
        <stp/>
        <stp>ContractData</stp>
        <stp>SO3??1</stp>
        <stp>LongDescription</stp>
        <tr r="B6" s="1"/>
      </tp>
      <tp t="s">
        <v>Three Month SONIA, Jun 23</v>
        <stp/>
        <stp>ContractData</stp>
        <stp>SO3??2</stp>
        <stp>LongDescription</stp>
        <tr r="B7" s="1"/>
      </tp>
      <tp t="s">
        <v>Three Month SONIA, Sep 23</v>
        <stp/>
        <stp>ContractData</stp>
        <stp>SO3??3</stp>
        <stp>LongDescription</stp>
        <tr r="B8" s="1"/>
      </tp>
      <tp>
        <v>147638</v>
        <stp/>
        <stp>ContractData</stp>
        <stp>SO3??1</stp>
        <stp>P_OI</stp>
        <tr r="X6" s="1"/>
      </tp>
      <tp>
        <v>223447</v>
        <stp/>
        <stp>ContractData</stp>
        <stp>SO3??2</stp>
        <stp>P_OI</stp>
        <tr r="X7" s="1"/>
      </tp>
      <tp>
        <v>184550</v>
        <stp/>
        <stp>ContractData</stp>
        <stp>SO3??3</stp>
        <stp>P_OI</stp>
        <tr r="X8" s="1"/>
      </tp>
      <tp>
        <v>148638</v>
        <stp/>
        <stp>ContractData</stp>
        <stp>SO3??4</stp>
        <stp>P_OI</stp>
        <tr r="X9" s="1"/>
      </tp>
      <tp>
        <v>116438</v>
        <stp/>
        <stp>ContractData</stp>
        <stp>SO3??5</stp>
        <stp>P_OI</stp>
        <tr r="X11" s="1"/>
      </tp>
      <tp>
        <v>108759</v>
        <stp/>
        <stp>ContractData</stp>
        <stp>SO3??6</stp>
        <stp>P_OI</stp>
        <tr r="X12" s="1"/>
      </tp>
      <tp>
        <v>89323</v>
        <stp/>
        <stp>ContractData</stp>
        <stp>SO3??7</stp>
        <stp>P_OI</stp>
        <tr r="X13" s="1"/>
      </tp>
      <tp>
        <v>126596</v>
        <stp/>
        <stp>ContractData</stp>
        <stp>SO3??8</stp>
        <stp>P_OI</stp>
        <tr r="X14" s="1"/>
      </tp>
      <tp>
        <v>70198</v>
        <stp/>
        <stp>ContractData</stp>
        <stp>SO3??9</stp>
        <stp>P_OI</stp>
        <tr r="X16" s="1"/>
      </tp>
      <tp>
        <v>45825</v>
        <stp/>
        <stp>ContractData</stp>
        <stp>SO3??9</stp>
        <stp>ExpirationDate</stp>
        <stp/>
        <stp>D</stp>
        <tr r="F16" s="1"/>
      </tp>
      <tp>
        <v>45734</v>
        <stp/>
        <stp>ContractData</stp>
        <stp>SO3??8</stp>
        <stp>ExpirationDate</stp>
        <stp/>
        <stp>D</stp>
        <tr r="F14" s="1"/>
      </tp>
      <tp>
        <v>45643</v>
        <stp/>
        <stp>ContractData</stp>
        <stp>SO3??7</stp>
        <stp>ExpirationDate</stp>
        <stp/>
        <stp>D</stp>
        <tr r="F13" s="1"/>
      </tp>
      <tp>
        <v>45076.3125</v>
        <stp/>
        <stp>StudyData</stp>
        <stp>SO3??1</stp>
        <stp>Bar</stp>
        <stp/>
        <stp>Time</stp>
        <stp>5</stp>
        <stp/>
        <stp>all</stp>
        <stp/>
        <stp/>
        <stp>False</stp>
        <tr r="F1" s="1"/>
        <tr r="D1" s="1"/>
      </tp>
      <tp>
        <v>45552</v>
        <stp/>
        <stp>ContractData</stp>
        <stp>SO3??6</stp>
        <stp>ExpirationDate</stp>
        <stp/>
        <stp>D</stp>
        <tr r="F12" s="1"/>
      </tp>
      <tp>
        <v>45461</v>
        <stp/>
        <stp>ContractData</stp>
        <stp>SO3??5</stp>
        <stp>ExpirationDate</stp>
        <stp/>
        <stp>D</stp>
        <tr r="F11" s="1"/>
      </tp>
      <tp>
        <v>45370</v>
        <stp/>
        <stp>ContractData</stp>
        <stp>SO3??4</stp>
        <stp>ExpirationDate</stp>
        <stp/>
        <stp>D</stp>
        <tr r="F9" s="1"/>
      </tp>
      <tp>
        <v>45279</v>
        <stp/>
        <stp>ContractData</stp>
        <stp>SO3??3</stp>
        <stp>ExpirationDate</stp>
        <stp/>
        <stp>D</stp>
        <tr r="F8" s="1"/>
      </tp>
      <tp>
        <v>45188</v>
        <stp/>
        <stp>ContractData</stp>
        <stp>SO3??2</stp>
        <stp>ExpirationDate</stp>
        <stp/>
        <stp>D</stp>
        <tr r="F7" s="1"/>
      </tp>
      <tp>
        <v>45097</v>
        <stp/>
        <stp>ContractData</stp>
        <stp>SO3??1</stp>
        <stp>ExpirationDate</stp>
        <stp/>
        <stp>D</stp>
        <tr r="F6" s="1"/>
      </tp>
      <tp>
        <v>46971</v>
        <stp/>
        <stp>ContractData</stp>
        <stp>SO3??10</stp>
        <stp>P_OI</stp>
        <tr r="X17" s="1"/>
      </tp>
      <tp>
        <v>38832</v>
        <stp/>
        <stp>ContractData</stp>
        <stp>SO3??11</stp>
        <stp>P_OI</stp>
        <tr r="X18" s="1"/>
      </tp>
      <tp>
        <v>46694</v>
        <stp/>
        <stp>ContractData</stp>
        <stp>SO3??12</stp>
        <stp>P_OI</stp>
        <tr r="X19" s="1"/>
      </tp>
      <tp>
        <v>41238</v>
        <stp/>
        <stp>ContractData</stp>
        <stp>SO3??13</stp>
        <stp>P_OI</stp>
        <tr r="X21" s="1"/>
      </tp>
      <tp>
        <v>15755</v>
        <stp/>
        <stp>ContractData</stp>
        <stp>SO3??14</stp>
        <stp>P_OI</stp>
        <tr r="X22" s="1"/>
      </tp>
      <tp>
        <v>14945</v>
        <stp/>
        <stp>ContractData</stp>
        <stp>SO3??15</stp>
        <stp>P_OI</stp>
        <tr r="X23" s="1"/>
      </tp>
      <tp>
        <v>16837</v>
        <stp/>
        <stp>ContractData</stp>
        <stp>SO3??16</stp>
        <stp>P_OI</stp>
        <tr r="X24" s="1"/>
      </tp>
      <tp>
        <v>22373</v>
        <stp/>
        <stp>ContractData</stp>
        <stp>SO3??17</stp>
        <stp>P_OI</stp>
        <tr r="X26" s="1"/>
      </tp>
      <tp>
        <v>7972</v>
        <stp/>
        <stp>ContractData</stp>
        <stp>SO3??18</stp>
        <stp>P_OI</stp>
        <tr r="X27" s="1"/>
      </tp>
      <tp>
        <v>3683</v>
        <stp/>
        <stp>ContractData</stp>
        <stp>SO3??19</stp>
        <stp>P_OI</stp>
        <tr r="X28" s="1"/>
      </tp>
      <tp>
        <v>3069</v>
        <stp/>
        <stp>ContractData</stp>
        <stp>SO3??20</stp>
        <stp>P_OI</stp>
        <tr r="X29" s="1"/>
      </tp>
      <tp>
        <v>488</v>
        <stp/>
        <stp>ContractData</stp>
        <stp>SO3??21</stp>
        <stp>P_OI</stp>
        <tr r="X31" s="1"/>
      </tp>
      <tp>
        <v>199</v>
        <stp/>
        <stp>ContractData</stp>
        <stp>SO3??22</stp>
        <stp>P_OI</stp>
        <tr r="X32" s="1"/>
      </tp>
      <tp>
        <v>75</v>
        <stp/>
        <stp>ContractData</stp>
        <stp>SO3??23</stp>
        <stp>P_OI</stp>
        <tr r="X33" s="1"/>
      </tp>
      <tp>
        <v>22</v>
        <stp/>
        <stp>ContractData</stp>
        <stp>SO3??24</stp>
        <stp>P_OI</stp>
        <tr r="X34" s="1"/>
      </tp>
      <tp>
        <v>0</v>
        <stp/>
        <stp>ContractData</stp>
        <stp>SO3??25</stp>
        <stp>P_OI</stp>
        <tr r="X35" s="1"/>
      </tp>
      <tp t="s">
        <v/>
        <stp/>
        <stp>StudyData</stp>
        <stp>SO3??1</stp>
        <stp>Vol</stp>
        <stp>VolType=Exchange,CoCType=Contract</stp>
        <stp>Vol</stp>
        <stp>5</stp>
        <stp>0</stp>
        <stp>ALL</stp>
        <stp/>
        <stp/>
        <stp>TRUE</stp>
        <stp>T</stp>
        <tr r="Z6" s="1"/>
      </tp>
      <tp t="s">
        <v/>
        <stp/>
        <stp>StudyData</stp>
        <stp>SO3??2</stp>
        <stp>Vol</stp>
        <stp>VolType=Exchange,CoCType=Contract</stp>
        <stp>Vol</stp>
        <stp>5</stp>
        <stp>0</stp>
        <stp>ALL</stp>
        <stp/>
        <stp/>
        <stp>TRUE</stp>
        <stp>T</stp>
        <tr r="Z7" s="1"/>
      </tp>
      <tp t="s">
        <v/>
        <stp/>
        <stp>StudyData</stp>
        <stp>SO3??3</stp>
        <stp>Vol</stp>
        <stp>VolType=Exchange,CoCType=Contract</stp>
        <stp>Vol</stp>
        <stp>5</stp>
        <stp>0</stp>
        <stp>ALL</stp>
        <stp/>
        <stp/>
        <stp>TRUE</stp>
        <stp>T</stp>
        <tr r="Z8" s="1"/>
      </tp>
      <tp t="s">
        <v/>
        <stp/>
        <stp>StudyData</stp>
        <stp>SO3??4</stp>
        <stp>Vol</stp>
        <stp>VolType=Exchange,CoCType=Contract</stp>
        <stp>Vol</stp>
        <stp>5</stp>
        <stp>0</stp>
        <stp>ALL</stp>
        <stp/>
        <stp/>
        <stp>TRUE</stp>
        <stp>T</stp>
        <tr r="Z9" s="1"/>
      </tp>
      <tp t="s">
        <v/>
        <stp/>
        <stp>StudyData</stp>
        <stp>SO3??5</stp>
        <stp>Vol</stp>
        <stp>VolType=Exchange,CoCType=Contract</stp>
        <stp>Vol</stp>
        <stp>5</stp>
        <stp>0</stp>
        <stp>ALL</stp>
        <stp/>
        <stp/>
        <stp>TRUE</stp>
        <stp>T</stp>
        <tr r="Z11" s="1"/>
      </tp>
      <tp t="s">
        <v/>
        <stp/>
        <stp>StudyData</stp>
        <stp>SO3??6</stp>
        <stp>Vol</stp>
        <stp>VolType=Exchange,CoCType=Contract</stp>
        <stp>Vol</stp>
        <stp>5</stp>
        <stp>0</stp>
        <stp>ALL</stp>
        <stp/>
        <stp/>
        <stp>TRUE</stp>
        <stp>T</stp>
        <tr r="Z12" s="1"/>
      </tp>
      <tp>
        <v>16</v>
        <stp/>
        <stp>StudyData</stp>
        <stp>SO3??7</stp>
        <stp>Vol</stp>
        <stp>VolType=Exchange,CoCType=Contract</stp>
        <stp>Vol</stp>
        <stp>5</stp>
        <stp>0</stp>
        <stp>ALL</stp>
        <stp/>
        <stp/>
        <stp>TRUE</stp>
        <stp>T</stp>
        <tr r="Z13" s="1"/>
        <tr r="Z13" s="1"/>
      </tp>
      <tp t="s">
        <v/>
        <stp/>
        <stp>StudyData</stp>
        <stp>SO3??8</stp>
        <stp>Vol</stp>
        <stp>VolType=Exchange,CoCType=Contract</stp>
        <stp>Vol</stp>
        <stp>5</stp>
        <stp>0</stp>
        <stp>ALL</stp>
        <stp/>
        <stp/>
        <stp>TRUE</stp>
        <stp>T</stp>
        <tr r="Z14" s="1"/>
      </tp>
      <tp>
        <v>0</v>
        <stp/>
        <stp>StudyData</stp>
        <stp>SO3??9</stp>
        <stp>Vol</stp>
        <stp>VolType=Exchange,CoCType=Contract</stp>
        <stp>Vol</stp>
        <stp>5</stp>
        <stp>0</stp>
        <stp>ALL</stp>
        <stp/>
        <stp/>
        <stp>TRUE</stp>
        <stp>T</stp>
        <tr r="Z16" s="1"/>
        <tr r="Z16" s="1"/>
      </tp>
      <tp>
        <v>11966</v>
        <stp/>
        <stp>StudyData</stp>
        <stp>(MA(SO3??10,Period:=12,MAType:=Sim,InputChoice:=ContractVol) when LocalYear(SO3??10)=2023 And (LocalMonth(SO3??10)=5 And LocalDay(SO3??10)=12 ))</stp>
        <stp>Bar</stp>
        <stp/>
        <stp>Close</stp>
        <stp>D</stp>
        <stp>0</stp>
        <stp>all</stp>
        <stp/>
        <stp/>
        <stp>False</stp>
        <stp/>
        <stp/>
        <tr r="P17" s="1"/>
      </tp>
      <tp>
        <v>9791</v>
        <stp/>
        <stp>StudyData</stp>
        <stp>(MA(SO3??11,Period:=12,MAType:=Sim,InputChoice:=ContractVol) when LocalYear(SO3??11)=2023 And (LocalMonth(SO3??11)=5 And LocalDay(SO3??11)=12 ))</stp>
        <stp>Bar</stp>
        <stp/>
        <stp>Close</stp>
        <stp>D</stp>
        <stp>0</stp>
        <stp>all</stp>
        <stp/>
        <stp/>
        <stp>False</stp>
        <stp/>
        <stp/>
        <tr r="P18" s="1"/>
      </tp>
      <tp>
        <v>7994</v>
        <stp/>
        <stp>StudyData</stp>
        <stp>(MA(SO3??12,Period:=12,MAType:=Sim,InputChoice:=ContractVol) when LocalYear(SO3??12)=2023 And (LocalMonth(SO3??12)=5 And LocalDay(SO3??12)=12 ))</stp>
        <stp>Bar</stp>
        <stp/>
        <stp>Close</stp>
        <stp>D</stp>
        <stp>0</stp>
        <stp>all</stp>
        <stp/>
        <stp/>
        <stp>False</stp>
        <stp/>
        <stp/>
        <tr r="P19" s="1"/>
      </tp>
      <tp>
        <v>6351</v>
        <stp/>
        <stp>StudyData</stp>
        <stp>(MA(SO3??13,Period:=12,MAType:=Sim,InputChoice:=ContractVol) when LocalYear(SO3??13)=2023 And (LocalMonth(SO3??13)=5 And LocalDay(SO3??13)=12 ))</stp>
        <stp>Bar</stp>
        <stp/>
        <stp>Close</stp>
        <stp>D</stp>
        <stp>0</stp>
        <stp>all</stp>
        <stp/>
        <stp/>
        <stp>False</stp>
        <stp/>
        <stp/>
        <tr r="P21" s="1"/>
      </tp>
      <tp>
        <v>2914</v>
        <stp/>
        <stp>StudyData</stp>
        <stp>(MA(SO3??14,Period:=12,MAType:=Sim,InputChoice:=ContractVol) when LocalYear(SO3??14)=2023 And (LocalMonth(SO3??14)=5 And LocalDay(SO3??14)=12 ))</stp>
        <stp>Bar</stp>
        <stp/>
        <stp>Close</stp>
        <stp>D</stp>
        <stp>0</stp>
        <stp>all</stp>
        <stp/>
        <stp/>
        <stp>False</stp>
        <stp/>
        <stp/>
        <tr r="P22" s="1"/>
      </tp>
      <tp>
        <v>2907</v>
        <stp/>
        <stp>StudyData</stp>
        <stp>(MA(SO3??15,Period:=12,MAType:=Sim,InputChoice:=ContractVol) when LocalYear(SO3??15)=2023 And (LocalMonth(SO3??15)=5 And LocalDay(SO3??15)=12 ))</stp>
        <stp>Bar</stp>
        <stp/>
        <stp>Close</stp>
        <stp>D</stp>
        <stp>0</stp>
        <stp>all</stp>
        <stp/>
        <stp/>
        <stp>False</stp>
        <stp/>
        <stp/>
        <tr r="P23" s="1"/>
      </tp>
      <tp>
        <v>2594</v>
        <stp/>
        <stp>StudyData</stp>
        <stp>(MA(SO3??16,Period:=12,MAType:=Sim,InputChoice:=ContractVol) when LocalYear(SO3??16)=2023 And (LocalMonth(SO3??16)=5 And LocalDay(SO3??16)=12 ))</stp>
        <stp>Bar</stp>
        <stp/>
        <stp>Close</stp>
        <stp>D</stp>
        <stp>0</stp>
        <stp>all</stp>
        <stp/>
        <stp/>
        <stp>False</stp>
        <stp/>
        <stp/>
        <tr r="P24" s="1"/>
      </tp>
      <tp>
        <v>2558</v>
        <stp/>
        <stp>StudyData</stp>
        <stp>(MA(SO3??17,Period:=12,MAType:=Sim,InputChoice:=ContractVol) when LocalYear(SO3??17)=2023 And (LocalMonth(SO3??17)=5 And LocalDay(SO3??17)=12 ))</stp>
        <stp>Bar</stp>
        <stp/>
        <stp>Close</stp>
        <stp>D</stp>
        <stp>0</stp>
        <stp>all</stp>
        <stp/>
        <stp/>
        <stp>False</stp>
        <stp/>
        <stp/>
        <tr r="P26" s="1"/>
      </tp>
      <tp>
        <v>1168</v>
        <stp/>
        <stp>StudyData</stp>
        <stp>(MA(SO3??18,Period:=12,MAType:=Sim,InputChoice:=ContractVol) when LocalYear(SO3??18)=2023 And (LocalMonth(SO3??18)=5 And LocalDay(SO3??18)=12 ))</stp>
        <stp>Bar</stp>
        <stp/>
        <stp>Close</stp>
        <stp>D</stp>
        <stp>0</stp>
        <stp>all</stp>
        <stp/>
        <stp/>
        <stp>False</stp>
        <stp/>
        <stp/>
        <tr r="P27" s="1"/>
      </tp>
      <tp>
        <v>499</v>
        <stp/>
        <stp>StudyData</stp>
        <stp>(MA(SO3??19,Period:=12,MAType:=Sim,InputChoice:=ContractVol) when LocalYear(SO3??19)=2023 And (LocalMonth(SO3??19)=5 And LocalDay(SO3??19)=12 ))</stp>
        <stp>Bar</stp>
        <stp/>
        <stp>Close</stp>
        <stp>D</stp>
        <stp>0</stp>
        <stp>all</stp>
        <stp/>
        <stp/>
        <stp>False</stp>
        <stp/>
        <stp/>
        <tr r="P28" s="1"/>
      </tp>
      <tp>
        <v>496</v>
        <stp/>
        <stp>StudyData</stp>
        <stp>(MA(SO3??20,Period:=12,MAType:=Sim,InputChoice:=ContractVol) when LocalYear(SO3??20)=2023 And (LocalMonth(SO3??20)=5 And LocalDay(SO3??20)=12 ))</stp>
        <stp>Bar</stp>
        <stp/>
        <stp>Close</stp>
        <stp>D</stp>
        <stp>0</stp>
        <stp>all</stp>
        <stp/>
        <stp/>
        <stp>False</stp>
        <stp/>
        <stp/>
        <tr r="P29" s="1"/>
      </tp>
      <tp>
        <v>466</v>
        <stp/>
        <stp>StudyData</stp>
        <stp>(MA(SO3??21,Period:=12,MAType:=Sim,InputChoice:=ContractVol) when LocalYear(SO3??21)=2023 And (LocalMonth(SO3??21)=5 And LocalDay(SO3??21)=12 ))</stp>
        <stp>Bar</stp>
        <stp/>
        <stp>Close</stp>
        <stp>D</stp>
        <stp>0</stp>
        <stp>all</stp>
        <stp/>
        <stp/>
        <stp>False</stp>
        <stp/>
        <stp/>
        <tr r="P31" s="1"/>
      </tp>
      <tp>
        <v>226</v>
        <stp/>
        <stp>StudyData</stp>
        <stp>(MA(SO3??22,Period:=12,MAType:=Sim,InputChoice:=ContractVol) when LocalYear(SO3??22)=2023 And (LocalMonth(SO3??22)=5 And LocalDay(SO3??22)=12 ))</stp>
        <stp>Bar</stp>
        <stp/>
        <stp>Close</stp>
        <stp>D</stp>
        <stp>0</stp>
        <stp>all</stp>
        <stp/>
        <stp/>
        <stp>False</stp>
        <stp/>
        <stp/>
        <tr r="P32" s="1"/>
      </tp>
      <tp>
        <v>43</v>
        <stp/>
        <stp>StudyData</stp>
        <stp>(MA(SO3??23,Period:=12,MAType:=Sim,InputChoice:=ContractVol) when LocalYear(SO3??23)=2023 And (LocalMonth(SO3??23)=5 And LocalDay(SO3??23)=12 ))</stp>
        <stp>Bar</stp>
        <stp/>
        <stp>Close</stp>
        <stp>D</stp>
        <stp>0</stp>
        <stp>all</stp>
        <stp/>
        <stp/>
        <stp>False</stp>
        <stp/>
        <stp/>
        <tr r="P33" s="1"/>
      </tp>
      <tp>
        <v>29</v>
        <stp/>
        <stp>StudyData</stp>
        <stp>(MA(SO3??24,Period:=12,MAType:=Sim,InputChoice:=ContractVol) when LocalYear(SO3??24)=2023 And (LocalMonth(SO3??24)=5 And LocalDay(SO3??24)=12 ))</stp>
        <stp>Bar</stp>
        <stp/>
        <stp>Close</stp>
        <stp>D</stp>
        <stp>0</stp>
        <stp>all</stp>
        <stp/>
        <stp/>
        <stp>False</stp>
        <stp/>
        <stp/>
        <tr r="P34" s="1"/>
      </tp>
      <tp t="s">
        <v/>
        <stp/>
        <stp>StudyData</stp>
        <stp>(MA(SO3??25,Period:=12,MAType:=Sim,InputChoice:=ContractVol) when LocalYear(SO3??25)=2023 And (LocalMonth(SO3??25)=5 And LocalDay(SO3??25)=12 ))</stp>
        <stp>Bar</stp>
        <stp/>
        <stp>Close</stp>
        <stp>D</stp>
        <stp>0</stp>
        <stp>all</stp>
        <stp/>
        <stp/>
        <stp>False</stp>
        <stp/>
        <stp/>
        <tr r="P3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36</xdr:row>
      <xdr:rowOff>66675</xdr:rowOff>
    </xdr:from>
    <xdr:to>
      <xdr:col>5</xdr:col>
      <xdr:colOff>914400</xdr:colOff>
      <xdr:row>36</xdr:row>
      <xdr:rowOff>200025</xdr:rowOff>
    </xdr:to>
    <xdr:pic>
      <xdr:nvPicPr>
        <xdr:cNvPr id="102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1658600"/>
          <a:ext cx="533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72"/>
  <sheetViews>
    <sheetView showGridLines="0" showRowColHeaders="0" tabSelected="1" workbookViewId="0">
      <selection activeCell="P4" sqref="P4"/>
    </sheetView>
  </sheetViews>
  <sheetFormatPr defaultRowHeight="17.25" x14ac:dyDescent="0.3"/>
  <cols>
    <col min="1" max="1" width="3.42578125" style="2" customWidth="1"/>
    <col min="2" max="2" width="17.7109375" style="1" customWidth="1"/>
    <col min="3" max="3" width="15.28515625" style="1" hidden="1" customWidth="1"/>
    <col min="4" max="4" width="18.42578125" style="1" hidden="1" customWidth="1"/>
    <col min="5" max="5" width="9.7109375" style="1" hidden="1" customWidth="1"/>
    <col min="6" max="6" width="24" style="1" customWidth="1"/>
    <col min="7" max="7" width="9.140625" style="1"/>
    <col min="8" max="8" width="0.85546875" style="1" customWidth="1"/>
    <col min="9" max="9" width="1.7109375" style="1" customWidth="1"/>
    <col min="10" max="10" width="12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10" customWidth="1"/>
    <col min="16" max="17" width="5.7109375" style="10" customWidth="1"/>
    <col min="18" max="18" width="5.140625" style="1" customWidth="1"/>
    <col min="19" max="19" width="1.7109375" style="1" customWidth="1"/>
    <col min="20" max="23" width="12.7109375" style="1" customWidth="1"/>
    <col min="24" max="24" width="13.7109375" style="1" customWidth="1"/>
    <col min="25" max="25" width="14.85546875" style="1" customWidth="1"/>
    <col min="26" max="26" width="10.28515625" style="1" customWidth="1"/>
    <col min="27" max="27" width="8.7109375" style="1" customWidth="1"/>
    <col min="28" max="28" width="15.7109375" style="1" customWidth="1"/>
    <col min="29" max="31" width="8.7109375" style="1" hidden="1" customWidth="1"/>
    <col min="32" max="16384" width="9.140625" style="1"/>
  </cols>
  <sheetData>
    <row r="1" spans="1:31" ht="3.95" customHeight="1" x14ac:dyDescent="0.3">
      <c r="A1" s="173">
        <f ca="1">TODAY()</f>
        <v>45076</v>
      </c>
      <c r="B1" s="174">
        <f ca="1">IF(WEEKDAY(A1)=2,-3,-1)</f>
        <v>-1</v>
      </c>
      <c r="C1" s="174">
        <f ca="1">IF(DAY(A1+B1)=C39,DAY(A1+B1),C39)</f>
        <v>26</v>
      </c>
      <c r="D1" s="175">
        <f xml:space="preserve"> RTD("cqg.rtd",,"StudyData",$A$5&amp;A6,"Bar",,"Time",Z4,,"all",,,"False")</f>
        <v>45076.3125</v>
      </c>
      <c r="E1" s="176">
        <f xml:space="preserve"> HOUR(D1)</f>
        <v>7</v>
      </c>
      <c r="F1" s="174">
        <f xml:space="preserve"> MINUTE(RTD("cqg.rtd",,"StudyData",$A$5&amp;A6,"Bar",,"Time",Z4,,"all",,,"False"))</f>
        <v>30</v>
      </c>
    </row>
    <row r="2" spans="1:31" ht="21.95" customHeight="1" x14ac:dyDescent="0.3">
      <c r="B2" s="159" t="s">
        <v>40</v>
      </c>
      <c r="C2" s="159"/>
      <c r="D2" s="159"/>
      <c r="E2" s="161">
        <f>RTD("cqg.rtd", ,"SystemInfo", "Linetime")</f>
        <v>45076.312696759262</v>
      </c>
      <c r="F2" s="161"/>
      <c r="G2" s="167"/>
      <c r="H2" s="167"/>
      <c r="I2" s="167"/>
      <c r="J2" s="138" t="s">
        <v>44</v>
      </c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1" t="s">
        <v>45</v>
      </c>
      <c r="Z2" s="131"/>
      <c r="AA2" s="133">
        <f>RTD("cqg.rtd", ,"SystemInfo", "Linetime")+6/24</f>
        <v>45076.562696759262</v>
      </c>
      <c r="AB2" s="133"/>
      <c r="AC2" s="95"/>
      <c r="AD2" s="95"/>
      <c r="AE2" s="96"/>
    </row>
    <row r="3" spans="1:31" ht="21.95" customHeight="1" x14ac:dyDescent="0.3">
      <c r="B3" s="160"/>
      <c r="C3" s="160"/>
      <c r="D3" s="160"/>
      <c r="E3" s="162"/>
      <c r="F3" s="162"/>
      <c r="G3" s="168"/>
      <c r="H3" s="168"/>
      <c r="I3" s="168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2"/>
      <c r="Z3" s="132"/>
      <c r="AA3" s="134"/>
      <c r="AB3" s="134"/>
      <c r="AC3" s="97"/>
      <c r="AD3" s="97"/>
      <c r="AE3" s="98"/>
    </row>
    <row r="4" spans="1:31" ht="20.100000000000001" customHeight="1" x14ac:dyDescent="0.3">
      <c r="B4" s="147" t="s">
        <v>42</v>
      </c>
      <c r="C4" s="148"/>
      <c r="D4" s="148"/>
      <c r="E4" s="149"/>
      <c r="F4" s="37" t="s">
        <v>24</v>
      </c>
      <c r="G4" s="39" t="s">
        <v>25</v>
      </c>
      <c r="H4" s="35"/>
      <c r="I4" s="35"/>
      <c r="J4" s="166" t="s">
        <v>28</v>
      </c>
      <c r="K4" s="166"/>
      <c r="L4" s="51">
        <v>10</v>
      </c>
      <c r="M4" s="41"/>
      <c r="N4" s="169" t="s">
        <v>35</v>
      </c>
      <c r="O4" s="170"/>
      <c r="P4" s="68">
        <v>5</v>
      </c>
      <c r="Q4" s="68">
        <v>12</v>
      </c>
      <c r="R4" s="69">
        <v>23</v>
      </c>
      <c r="S4" s="128"/>
      <c r="T4" s="155" t="s">
        <v>32</v>
      </c>
      <c r="U4" s="155"/>
      <c r="V4" s="148" t="s">
        <v>33</v>
      </c>
      <c r="W4" s="148"/>
      <c r="X4" s="155" t="s">
        <v>36</v>
      </c>
      <c r="Y4" s="156"/>
      <c r="Z4" s="44">
        <v>5</v>
      </c>
      <c r="AA4" s="43" t="s">
        <v>34</v>
      </c>
      <c r="AB4" s="147" t="s">
        <v>42</v>
      </c>
      <c r="AC4" s="148"/>
      <c r="AD4" s="148"/>
      <c r="AE4" s="149"/>
    </row>
    <row r="5" spans="1:31" ht="20.100000000000001" customHeight="1" x14ac:dyDescent="0.3">
      <c r="A5" s="3" t="s">
        <v>43</v>
      </c>
      <c r="B5" s="150"/>
      <c r="C5" s="151"/>
      <c r="D5" s="151"/>
      <c r="E5" s="152"/>
      <c r="F5" s="38" t="s">
        <v>27</v>
      </c>
      <c r="G5" s="40" t="s">
        <v>26</v>
      </c>
      <c r="H5" s="36"/>
      <c r="I5" s="36"/>
      <c r="J5" s="140" t="s">
        <v>29</v>
      </c>
      <c r="K5" s="140"/>
      <c r="L5" s="52" t="s">
        <v>30</v>
      </c>
      <c r="M5" s="42"/>
      <c r="N5" s="171"/>
      <c r="O5" s="172"/>
      <c r="P5" s="72" t="s">
        <v>41</v>
      </c>
      <c r="Q5" s="70">
        <v>12</v>
      </c>
      <c r="R5" s="71" t="str">
        <f>"20"&amp;R4</f>
        <v>2023</v>
      </c>
      <c r="S5" s="100"/>
      <c r="T5" s="157"/>
      <c r="U5" s="157"/>
      <c r="V5" s="154"/>
      <c r="W5" s="154"/>
      <c r="X5" s="157"/>
      <c r="Y5" s="158"/>
      <c r="Z5" s="153" t="s">
        <v>31</v>
      </c>
      <c r="AA5" s="153"/>
      <c r="AB5" s="150"/>
      <c r="AC5" s="151"/>
      <c r="AD5" s="151"/>
      <c r="AE5" s="152"/>
    </row>
    <row r="6" spans="1:31" x14ac:dyDescent="0.3">
      <c r="A6" s="2" t="s">
        <v>0</v>
      </c>
      <c r="B6" s="62" t="str">
        <f>RIGHT(RTD("cqg.rtd",,"ContractData",$A$5&amp;A6,"LongDescription"),6)</f>
        <v>Mar 23</v>
      </c>
      <c r="C6" s="57"/>
      <c r="D6" s="57"/>
      <c r="E6" s="57"/>
      <c r="F6" s="4">
        <f>IF(B6="","",RTD("cqg.rtd",,"ContractData",$A$5&amp;A6,"ExpirationDate",,"D"))</f>
        <v>45097</v>
      </c>
      <c r="G6" s="5">
        <f ca="1">F6-$A$1</f>
        <v>21</v>
      </c>
      <c r="H6" s="23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1</v>
      </c>
      <c r="I6" s="11"/>
      <c r="J6" s="5">
        <f>K6</f>
        <v>20</v>
      </c>
      <c r="K6" s="46">
        <f>RTD("cqg.rtd", ,"ContractData", $A$5&amp;A6, "T_CVol")</f>
        <v>20</v>
      </c>
      <c r="L6" s="5">
        <f xml:space="preserve"> RTD("cqg.rtd",,"StudyData", $A$5&amp;A6, "MA", "InputChoice=ContractVol,MAType=Sim,Period="&amp;$L$4&amp;"", "MA",,,"all",,,,"T")</f>
        <v>2978.8</v>
      </c>
      <c r="M6" s="27">
        <f>IF(K6&gt;L6,1,0)</f>
        <v>0</v>
      </c>
      <c r="N6" s="5">
        <f>RTD("cqg.rtd", ,"ContractData", $A$5&amp;A6, "Y_CVol")</f>
        <v>7534</v>
      </c>
      <c r="O6" s="30">
        <f>IF(ISERROR(K6/N6),"",K6/N6)</f>
        <v>2.6546323334218211E-3</v>
      </c>
      <c r="P6" s="141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12028</v>
      </c>
      <c r="Q6" s="142"/>
      <c r="R6" s="143"/>
      <c r="S6" s="101"/>
      <c r="T6" s="7">
        <f>U6</f>
        <v>144990</v>
      </c>
      <c r="U6" s="7">
        <f>IF(B6="","",RTD("cqg.rtd", ,"ContractData", $A$5&amp;A6, "COI"))</f>
        <v>144990</v>
      </c>
      <c r="V6" s="7">
        <f>U6-X6</f>
        <v>-2648</v>
      </c>
      <c r="W6" s="7">
        <f>V6</f>
        <v>-2648</v>
      </c>
      <c r="X6" s="7">
        <f>IF(B6="","",RTD("cqg.rtd", ,"ContractData", $A$5&amp;A6, "P_OI"))</f>
        <v>147638</v>
      </c>
      <c r="Y6" s="17">
        <f>U6/X6</f>
        <v>0.98206423820425637</v>
      </c>
      <c r="Z6" s="119">
        <f>IF(RTD("cqg.rtd",,"StudyData",$A$5&amp;A6,"Vol","VolType=Exchange,CoCType=Contract","Vol",$Z$4,"0","ALL",,,"TRUE","T")="",0,RTD("cqg.rtd",,"StudyData",$A$5&amp;A6,"Vol","VolType=Exchange,CoCType=Contract","Vol",$Z$4,"0","ALL",,,"TRUE","T"))</f>
        <v>0</v>
      </c>
      <c r="AA6" s="119">
        <f ca="1">IFERROR(IF(B6="","",RTD("cqg.rtd",,"StudyData","Vol("&amp;$A$5&amp;A6&amp;") when (LocalDay("&amp;$A$5&amp;A6&amp;")="&amp;$C$1&amp;" and LocalHour("&amp;$A$5&amp;A6&amp;")="&amp;$E$1&amp;" and LocalMinute("&amp;$A$5&amp;$A6&amp;")="&amp;$F$1&amp;")","Bar",,"Vol",$Z$4,"0")),"")</f>
        <v>12</v>
      </c>
      <c r="AB6" s="121" t="str">
        <f t="shared" ref="AB6:AB12" si="0">B6</f>
        <v>Mar 23</v>
      </c>
      <c r="AC6" s="74"/>
      <c r="AD6" s="74"/>
      <c r="AE6" s="75"/>
    </row>
    <row r="7" spans="1:31" x14ac:dyDescent="0.3">
      <c r="A7" s="2" t="s">
        <v>1</v>
      </c>
      <c r="B7" s="63" t="str">
        <f>RIGHT(RTD("cqg.rtd",,"ContractData",$A$5&amp;A7,"LongDescription"),6)</f>
        <v>Jun 23</v>
      </c>
      <c r="C7" s="58"/>
      <c r="D7" s="58"/>
      <c r="E7" s="58"/>
      <c r="F7" s="6">
        <f>IF(B7="","",RTD("cqg.rtd",,"ContractData",$A$5&amp;A7,"ExpirationDate",,"D"))</f>
        <v>45188</v>
      </c>
      <c r="G7" s="7">
        <f t="shared" ref="G7:G34" ca="1" si="1">F7-$A$1</f>
        <v>112</v>
      </c>
      <c r="H7" s="24">
        <f>IF(OR(RTD("cqg.rtd",,"ContractData",$A$5&amp;A7,"Contractmonth")="JUN",(RTD("cqg.rtd",,"ContractData",$A$5&amp;A7,"Contractmonth")="SEP"),(RTD("cqg.rtd",,"ContractData",$A$5&amp;A7,"Contractmonth")="DEC"),(RTD("cqg.rtd",,"ContractData",$A$5&amp;A7,"Contractmonth")="MAR")),1,0)</f>
        <v>1</v>
      </c>
      <c r="I7" s="12"/>
      <c r="J7" s="7">
        <f>K7</f>
        <v>14308</v>
      </c>
      <c r="K7" s="47">
        <f>RTD("cqg.rtd", ,"ContractData", $A$5&amp;A7, "T_CVol")</f>
        <v>14308</v>
      </c>
      <c r="L7" s="7">
        <f xml:space="preserve"> RTD("cqg.rtd",,"StudyData", $A$5&amp;A7, "MA", "InputChoice=ContractVol,MAType=Sim,Period="&amp;$L$4&amp;"", "MA",,,"all",,,,"T")</f>
        <v>62566.6</v>
      </c>
      <c r="M7" s="28">
        <f>IF(K7&gt;L7,1,0)</f>
        <v>0</v>
      </c>
      <c r="N7" s="7">
        <f>RTD("cqg.rtd", ,"ContractData", $A$5&amp;A7, "Y_CVol")</f>
        <v>44478</v>
      </c>
      <c r="O7" s="31">
        <f t="shared" ref="O7:O34" si="2">IF(ISERROR(K7/N7),"",K7/N7)</f>
        <v>0.32168712621970413</v>
      </c>
      <c r="P7" s="135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>39108</v>
      </c>
      <c r="Q7" s="136"/>
      <c r="R7" s="137"/>
      <c r="S7" s="101"/>
      <c r="T7" s="7">
        <f t="shared" ref="T7:T35" si="3">U7</f>
        <v>230527</v>
      </c>
      <c r="U7" s="7">
        <f>IF(B7="","",RTD("cqg.rtd", ,"ContractData", $A$5&amp;A7, "COI"))</f>
        <v>230527</v>
      </c>
      <c r="V7" s="7">
        <f t="shared" ref="V7:V34" si="4">U7-X7</f>
        <v>7080</v>
      </c>
      <c r="W7" s="7">
        <f t="shared" ref="W7:W35" si="5">V7</f>
        <v>7080</v>
      </c>
      <c r="X7" s="7">
        <f>IF(B7="","",RTD("cqg.rtd", ,"ContractData", $A$5&amp;A7, "P_OI"))</f>
        <v>223447</v>
      </c>
      <c r="Y7" s="17">
        <f t="shared" ref="Y7:Y24" si="6">U7/X7</f>
        <v>1.0316853661047138</v>
      </c>
      <c r="Z7" s="119">
        <f>IF(RTD("cqg.rtd",,"StudyData",$A$5&amp;A7,"Vol","VolType=Exchange,CoCType=Contract","Vol",$Z$4,"0","ALL",,,"TRUE","T")="",0,RTD("cqg.rtd",,"StudyData",$A$5&amp;A7,"Vol","VolType=Exchange,CoCType=Contract","Vol",$Z$4,"0","ALL",,,"TRUE","T"))</f>
        <v>0</v>
      </c>
      <c r="AA7" s="119">
        <f ca="1">IFERROR(IF(B7="","",RTD("cqg.rtd",,"StudyData","Vol("&amp;$A$5&amp;A7&amp;") when (LocalDay("&amp;$A$5&amp;A7&amp;")="&amp;$C$1&amp;" and LocalHour("&amp;$A$5&amp;A7&amp;")="&amp;$E$1&amp;" and LocalMinute("&amp;$A$5&amp;$A7&amp;")="&amp;$F$1&amp;")","Bar",,"Vol",$Z$4,"0")),"")</f>
        <v>2888</v>
      </c>
      <c r="AB7" s="121" t="str">
        <f t="shared" si="0"/>
        <v>Jun 23</v>
      </c>
      <c r="AC7" s="74"/>
      <c r="AD7" s="74"/>
      <c r="AE7" s="75"/>
    </row>
    <row r="8" spans="1:31" x14ac:dyDescent="0.3">
      <c r="A8" s="2" t="s">
        <v>2</v>
      </c>
      <c r="B8" s="63" t="str">
        <f>RIGHT(RTD("cqg.rtd",,"ContractData",$A$5&amp;A8,"LongDescription"),6)</f>
        <v>Sep 23</v>
      </c>
      <c r="C8" s="58"/>
      <c r="D8" s="58"/>
      <c r="E8" s="58"/>
      <c r="F8" s="6">
        <f>IF(B8="","",RTD("cqg.rtd",,"ContractData",$A$5&amp;A8,"ExpirationDate",,"D"))</f>
        <v>45279</v>
      </c>
      <c r="G8" s="7">
        <f t="shared" ca="1" si="1"/>
        <v>203</v>
      </c>
      <c r="H8" s="24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1</v>
      </c>
      <c r="I8" s="12"/>
      <c r="J8" s="7">
        <f t="shared" ref="J8:J34" si="7">K8</f>
        <v>26636</v>
      </c>
      <c r="K8" s="47">
        <f>RTD("cqg.rtd", ,"ContractData", $A$5&amp;A8, "T_CVol")</f>
        <v>26636</v>
      </c>
      <c r="L8" s="7">
        <f xml:space="preserve"> RTD("cqg.rtd",,"StudyData", $A$5&amp;A8, "MA", "InputChoice=ContractVol,MAType=Sim,Period="&amp;$L$4&amp;"", "MA",,,"all",,,,"T")</f>
        <v>73745.7</v>
      </c>
      <c r="M8" s="28">
        <f t="shared" ref="M8:M35" si="8">IF(K8&gt;L8,1,0)</f>
        <v>0</v>
      </c>
      <c r="N8" s="7">
        <f>RTD("cqg.rtd", ,"ContractData", $A$5&amp;A8, "Y_CVol")</f>
        <v>61087</v>
      </c>
      <c r="O8" s="31">
        <f t="shared" si="2"/>
        <v>0.43603385335668798</v>
      </c>
      <c r="P8" s="135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42121</v>
      </c>
      <c r="Q8" s="136"/>
      <c r="R8" s="137"/>
      <c r="S8" s="101"/>
      <c r="T8" s="7">
        <f t="shared" si="3"/>
        <v>180939</v>
      </c>
      <c r="U8" s="7">
        <f>IF(B8="","",RTD("cqg.rtd", ,"ContractData", $A$5&amp;A8, "COI"))</f>
        <v>180939</v>
      </c>
      <c r="V8" s="7">
        <f t="shared" si="4"/>
        <v>-3611</v>
      </c>
      <c r="W8" s="7">
        <f t="shared" si="5"/>
        <v>-3611</v>
      </c>
      <c r="X8" s="7">
        <f>IF(B8="","",RTD("cqg.rtd", ,"ContractData", $A$5&amp;A8, "P_OI"))</f>
        <v>184550</v>
      </c>
      <c r="Y8" s="17">
        <f t="shared" si="6"/>
        <v>0.98043348685992959</v>
      </c>
      <c r="Z8" s="119">
        <f>IF(RTD("cqg.rtd",,"StudyData",$A$5&amp;A8,"Vol","VolType=Exchange,CoCType=Contract","Vol",$Z$4,"0","ALL",,,"TRUE","T")="",0,RTD("cqg.rtd",,"StudyData",$A$5&amp;A8,"Vol","VolType=Exchange,CoCType=Contract","Vol",$Z$4,"0","ALL",,,"TRUE","T"))</f>
        <v>0</v>
      </c>
      <c r="AA8" s="119">
        <f ca="1">IFERROR(IF(B8="","",RTD("cqg.rtd",,"StudyData","Vol("&amp;$A$5&amp;A8&amp;") when (LocalDay("&amp;$A$5&amp;A8&amp;")="&amp;$C$1&amp;" and LocalHour("&amp;$A$5&amp;A8&amp;")="&amp;$E$1&amp;" and LocalMinute("&amp;$A$5&amp;$A8&amp;")="&amp;$F$1&amp;")","Bar",,"Vol",$Z$4,"0")),"")</f>
        <v>1583</v>
      </c>
      <c r="AB8" s="121" t="str">
        <f t="shared" si="0"/>
        <v>Sep 23</v>
      </c>
      <c r="AC8" s="74"/>
      <c r="AD8" s="74"/>
      <c r="AE8" s="75"/>
    </row>
    <row r="9" spans="1:31" x14ac:dyDescent="0.3">
      <c r="A9" s="2" t="s">
        <v>3</v>
      </c>
      <c r="B9" s="63" t="str">
        <f>RIGHT(RTD("cqg.rtd",,"ContractData",$A$5&amp;A9,"LongDescription"),6)</f>
        <v>Dec 23</v>
      </c>
      <c r="C9" s="58"/>
      <c r="D9" s="58"/>
      <c r="E9" s="58"/>
      <c r="F9" s="6">
        <f>IF(B9="","",RTD("cqg.rtd",,"ContractData",$A$5&amp;A9,"ExpirationDate",,"D"))</f>
        <v>45370</v>
      </c>
      <c r="G9" s="7">
        <f t="shared" ca="1" si="1"/>
        <v>294</v>
      </c>
      <c r="H9" s="24">
        <f>IF(OR(RTD("cqg.rtd",,"ContractData",$A$5&amp;A9,"Contractmonth")="JUN",(RTD("cqg.rtd",,"ContractData",$A$5&amp;A9,"Contractmonth")="SEP"),(RTD("cqg.rtd",,"ContractData",$A$5&amp;A9,"Contractmonth")="DEC"),(RTD("cqg.rtd",,"ContractData",$A$5&amp;A9,"Contractmonth")="MAR")),1,0)</f>
        <v>1</v>
      </c>
      <c r="I9" s="12"/>
      <c r="J9" s="7">
        <f t="shared" si="7"/>
        <v>28044</v>
      </c>
      <c r="K9" s="47">
        <f>RTD("cqg.rtd", ,"ContractData", $A$5&amp;A9, "T_CVol")</f>
        <v>28044</v>
      </c>
      <c r="L9" s="7">
        <f xml:space="preserve"> RTD("cqg.rtd",,"StudyData", $A$5&amp;A9, "MA", "InputChoice=ContractVol,MAType=Sim,Period="&amp;$L$4&amp;"", "MA",,,"all",,,,"T")</f>
        <v>63670.5</v>
      </c>
      <c r="M9" s="28">
        <f t="shared" si="8"/>
        <v>0</v>
      </c>
      <c r="N9" s="7">
        <f>RTD("cqg.rtd", ,"ContractData", $A$5&amp;A9, "Y_CVol")</f>
        <v>71993</v>
      </c>
      <c r="O9" s="31">
        <f t="shared" si="2"/>
        <v>0.38953787173753002</v>
      </c>
      <c r="P9" s="135">
        <f xml:space="preserve"> 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</f>
        <v>35220</v>
      </c>
      <c r="Q9" s="136"/>
      <c r="R9" s="137"/>
      <c r="S9" s="101"/>
      <c r="T9" s="7">
        <f t="shared" si="3"/>
        <v>151319</v>
      </c>
      <c r="U9" s="7">
        <f>IF(B9="","",RTD("cqg.rtd", ,"ContractData", $A$5&amp;A9, "COI"))</f>
        <v>151319</v>
      </c>
      <c r="V9" s="7">
        <f t="shared" si="4"/>
        <v>2681</v>
      </c>
      <c r="W9" s="7">
        <f t="shared" si="5"/>
        <v>2681</v>
      </c>
      <c r="X9" s="7">
        <f>IF(B9="","",RTD("cqg.rtd", ,"ContractData", $A$5&amp;A9, "P_OI"))</f>
        <v>148638</v>
      </c>
      <c r="Y9" s="17">
        <f t="shared" si="6"/>
        <v>1.0180371102948103</v>
      </c>
      <c r="Z9" s="119">
        <f>IF(RTD("cqg.rtd",,"StudyData",$A$5&amp;A9,"Vol","VolType=Exchange,CoCType=Contract","Vol",$Z$4,"0","ALL",,,"TRUE","T")="",0,RTD("cqg.rtd",,"StudyData",$A$5&amp;A9,"Vol","VolType=Exchange,CoCType=Contract","Vol",$Z$4,"0","ALL",,,"TRUE","T"))</f>
        <v>0</v>
      </c>
      <c r="AA9" s="119">
        <f ca="1">IFERROR(IF(B9="","",RTD("cqg.rtd",,"StudyData","Vol("&amp;$A$5&amp;A9&amp;") when (LocalDay("&amp;$A$5&amp;A9&amp;")="&amp;$C$1&amp;" and LocalHour("&amp;$A$5&amp;A9&amp;")="&amp;$E$1&amp;" and LocalMinute("&amp;$A$5&amp;$A9&amp;")="&amp;$F$1&amp;")","Bar",,"Vol",$Z$4,"0")),"")</f>
        <v>1420</v>
      </c>
      <c r="AB9" s="121" t="str">
        <f t="shared" si="0"/>
        <v>Dec 23</v>
      </c>
      <c r="AC9" s="74"/>
      <c r="AD9" s="74"/>
      <c r="AE9" s="75"/>
    </row>
    <row r="10" spans="1:31" ht="8.1" customHeight="1" x14ac:dyDescent="0.3">
      <c r="B10" s="64"/>
      <c r="C10" s="19"/>
      <c r="D10" s="19"/>
      <c r="E10" s="19"/>
      <c r="F10" s="20"/>
      <c r="G10" s="19"/>
      <c r="H10" s="25"/>
      <c r="I10" s="19"/>
      <c r="J10" s="19"/>
      <c r="K10" s="19"/>
      <c r="L10" s="50"/>
      <c r="M10" s="21"/>
      <c r="N10" s="19"/>
      <c r="O10" s="33"/>
      <c r="P10" s="73"/>
      <c r="Q10" s="73"/>
      <c r="R10" s="73"/>
      <c r="S10" s="102"/>
      <c r="T10" s="19"/>
      <c r="U10" s="19"/>
      <c r="V10" s="19"/>
      <c r="W10" s="19"/>
      <c r="X10" s="19"/>
      <c r="Y10" s="19"/>
      <c r="Z10" s="50"/>
      <c r="AA10" s="127"/>
      <c r="AB10" s="94"/>
      <c r="AC10" s="22"/>
      <c r="AD10" s="22"/>
      <c r="AE10" s="29"/>
    </row>
    <row r="11" spans="1:31" x14ac:dyDescent="0.3">
      <c r="A11" s="2" t="s">
        <v>4</v>
      </c>
      <c r="B11" s="65" t="str">
        <f>RIGHT(RTD("cqg.rtd",,"ContractData",$A$5&amp;A11,"LongDescription"),6)</f>
        <v>Mar 24</v>
      </c>
      <c r="C11" s="58"/>
      <c r="D11" s="58"/>
      <c r="E11" s="58"/>
      <c r="F11" s="6">
        <f>IF(B11="","",RTD("cqg.rtd",,"ContractData",$A$5&amp;A11,"ExpirationDate",,"D"))</f>
        <v>45461</v>
      </c>
      <c r="G11" s="7">
        <f t="shared" ca="1" si="1"/>
        <v>385</v>
      </c>
      <c r="H11" s="24">
        <f>IF(OR(RTD("cqg.rtd",,"ContractData",$A$5&amp;A11,"Contractmonth")="JUN",(RTD("cqg.rtd",,"ContractData",$A$5&amp;A11,"Contractmonth")="SEP"),(RTD("cqg.rtd",,"ContractData",$A$5&amp;A11,"Contractmonth")="DEC"),(RTD("cqg.rtd",,"ContractData",$A$5&amp;A11,"Contractmonth")="MAR")),1,0)</f>
        <v>1</v>
      </c>
      <c r="I11" s="12"/>
      <c r="J11" s="7">
        <f t="shared" si="7"/>
        <v>19957</v>
      </c>
      <c r="K11" s="47">
        <f>RTD("cqg.rtd", ,"ContractData", $A$5&amp;A11, "T_CVol")</f>
        <v>19957</v>
      </c>
      <c r="L11" s="7">
        <f xml:space="preserve"> RTD("cqg.rtd",,"StudyData", $A$5&amp;A11, "MA", "InputChoice=ContractVol,MAType=Sim,Period="&amp;$L$4&amp;"", "MA",,,"all",,,,"T")</f>
        <v>46484.3</v>
      </c>
      <c r="M11" s="28">
        <f t="shared" si="8"/>
        <v>0</v>
      </c>
      <c r="N11" s="7">
        <f>RTD("cqg.rtd", ,"ContractData", $A$5&amp;A11, "Y_CVol")</f>
        <v>53607</v>
      </c>
      <c r="O11" s="31">
        <f t="shared" si="2"/>
        <v>0.37228347044229299</v>
      </c>
      <c r="P11" s="135">
        <f xml:space="preserve"> RTD("cqg.rtd",,"StudyData", "(MA("&amp;$A$5&amp;A11&amp;",Period:="&amp;$Q$5&amp;",MAType:=Sim,InputChoice:=ContractVol) when LocalYear("&amp;$A$5&amp;A11&amp;")="&amp;$R$5&amp;" And (LocalMonth("&amp;$A$5&amp;A11&amp;")="&amp;$P$4&amp;" And LocalDay("&amp;$A$5&amp;A11&amp;")="&amp;$Q$4&amp;" ))", "Bar", "", "Close","D", "0", "all", "", "","False",,)</f>
        <v>26379</v>
      </c>
      <c r="Q11" s="136"/>
      <c r="R11" s="137"/>
      <c r="S11" s="101"/>
      <c r="T11" s="7">
        <f t="shared" si="3"/>
        <v>113510</v>
      </c>
      <c r="U11" s="7">
        <f>IF(B11="","",RTD("cqg.rtd", ,"ContractData", $A$5&amp;A11, "COI"))</f>
        <v>113510</v>
      </c>
      <c r="V11" s="7">
        <f t="shared" si="4"/>
        <v>-2928</v>
      </c>
      <c r="W11" s="7">
        <f t="shared" si="5"/>
        <v>-2928</v>
      </c>
      <c r="X11" s="7">
        <f>IF(B11="","",RTD("cqg.rtd", ,"ContractData", $A$5&amp;A11, "P_OI"))</f>
        <v>116438</v>
      </c>
      <c r="Y11" s="17">
        <f t="shared" si="6"/>
        <v>0.97485357014033225</v>
      </c>
      <c r="Z11" s="119">
        <f>IF(RTD("cqg.rtd",,"StudyData",$A$5&amp;A11,"Vol","VolType=Exchange,CoCType=Contract","Vol",$Z$4,"0","ALL",,,"TRUE","T")="",0,RTD("cqg.rtd",,"StudyData",$A$5&amp;A11,"Vol","VolType=Exchange,CoCType=Contract","Vol",$Z$4,"0","ALL",,,"TRUE","T"))</f>
        <v>0</v>
      </c>
      <c r="AA11" s="119">
        <f ca="1">IFERROR(IF(B11="","",RTD("cqg.rtd",,"StudyData","Vol("&amp;$A$5&amp;A11&amp;") when (LocalDay("&amp;$A$5&amp;A11&amp;")="&amp;$C$1&amp;" and LocalHour("&amp;$A$5&amp;A11&amp;")="&amp;$E$1&amp;" and LocalMinute("&amp;$A$5&amp;$A11&amp;")="&amp;$F$1&amp;")","Bar",,"Vol",$Z$4,"0")),"")</f>
        <v>890</v>
      </c>
      <c r="AB11" s="122" t="str">
        <f t="shared" si="0"/>
        <v>Mar 24</v>
      </c>
      <c r="AC11" s="74"/>
      <c r="AD11" s="74"/>
      <c r="AE11" s="75"/>
    </row>
    <row r="12" spans="1:31" x14ac:dyDescent="0.3">
      <c r="A12" s="2" t="s">
        <v>5</v>
      </c>
      <c r="B12" s="65" t="str">
        <f>RIGHT(RTD("cqg.rtd",,"ContractData",$A$5&amp;A12,"LongDescription"),6)</f>
        <v>Jun 24</v>
      </c>
      <c r="C12" s="58"/>
      <c r="D12" s="58"/>
      <c r="E12" s="58"/>
      <c r="F12" s="6">
        <f>IF(B12="","",RTD("cqg.rtd",,"ContractData",$A$5&amp;A12,"ExpirationDate",,"D"))</f>
        <v>45552</v>
      </c>
      <c r="G12" s="7">
        <f t="shared" ca="1" si="1"/>
        <v>476</v>
      </c>
      <c r="H12" s="24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1</v>
      </c>
      <c r="I12" s="12"/>
      <c r="J12" s="7">
        <f t="shared" si="7"/>
        <v>18840</v>
      </c>
      <c r="K12" s="47">
        <f>RTD("cqg.rtd", ,"ContractData", $A$5&amp;A12, "T_CVol")</f>
        <v>18840</v>
      </c>
      <c r="L12" s="7">
        <f xml:space="preserve"> RTD("cqg.rtd",,"StudyData", $A$5&amp;A12, "MA", "InputChoice=ContractVol,MAType=Sim,Period="&amp;$L$4&amp;"", "MA",,,"all",,,,"T")</f>
        <v>41592.300000000003</v>
      </c>
      <c r="M12" s="28">
        <f t="shared" si="8"/>
        <v>0</v>
      </c>
      <c r="N12" s="7">
        <f>RTD("cqg.rtd", ,"ContractData", $A$5&amp;A12, "Y_CVol")</f>
        <v>39280</v>
      </c>
      <c r="O12" s="31">
        <f t="shared" si="2"/>
        <v>0.47963340122199594</v>
      </c>
      <c r="P12" s="135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24402</v>
      </c>
      <c r="Q12" s="136"/>
      <c r="R12" s="137"/>
      <c r="S12" s="101"/>
      <c r="T12" s="7">
        <f t="shared" si="3"/>
        <v>108918</v>
      </c>
      <c r="U12" s="7">
        <f>IF(B12="","",RTD("cqg.rtd", ,"ContractData", $A$5&amp;A12, "COI"))</f>
        <v>108918</v>
      </c>
      <c r="V12" s="7">
        <f t="shared" si="4"/>
        <v>159</v>
      </c>
      <c r="W12" s="7">
        <f t="shared" si="5"/>
        <v>159</v>
      </c>
      <c r="X12" s="7">
        <f>IF(B12="","",RTD("cqg.rtd", ,"ContractData", $A$5&amp;A12, "P_OI"))</f>
        <v>108759</v>
      </c>
      <c r="Y12" s="17">
        <f t="shared" si="6"/>
        <v>1.0014619479767191</v>
      </c>
      <c r="Z12" s="119">
        <f>IF(RTD("cqg.rtd",,"StudyData",$A$5&amp;A12,"Vol","VolType=Exchange,CoCType=Contract","Vol",$Z$4,"0","ALL",,,"TRUE","T")="",0,RTD("cqg.rtd",,"StudyData",$A$5&amp;A12,"Vol","VolType=Exchange,CoCType=Contract","Vol",$Z$4,"0","ALL",,,"TRUE","T"))</f>
        <v>0</v>
      </c>
      <c r="AA12" s="119">
        <f ca="1">IFERROR(IF(B12="","",RTD("cqg.rtd",,"StudyData","Vol("&amp;$A$5&amp;A12&amp;") when (LocalDay("&amp;$A$5&amp;A12&amp;")="&amp;$C$1&amp;" and LocalHour("&amp;$A$5&amp;A12&amp;")="&amp;$E$1&amp;" and LocalMinute("&amp;$A$5&amp;$A12&amp;")="&amp;$F$1&amp;")","Bar",,"Vol",$Z$4,"0")),"")</f>
        <v>330</v>
      </c>
      <c r="AB12" s="122" t="str">
        <f t="shared" si="0"/>
        <v>Jun 24</v>
      </c>
      <c r="AC12" s="74"/>
      <c r="AD12" s="74"/>
      <c r="AE12" s="75"/>
    </row>
    <row r="13" spans="1:31" x14ac:dyDescent="0.3">
      <c r="A13" s="2" t="s">
        <v>6</v>
      </c>
      <c r="B13" s="65" t="str">
        <f>RIGHT(RTD("cqg.rtd",,"ContractData",$A$5&amp;A13,"LongDescription"),6)</f>
        <v>Sep 24</v>
      </c>
      <c r="C13" s="58"/>
      <c r="D13" s="58"/>
      <c r="E13" s="58"/>
      <c r="F13" s="6">
        <f>IF(B13="","",RTD("cqg.rtd",,"ContractData",$A$5&amp;A13,"ExpirationDate",,"D"))</f>
        <v>45643</v>
      </c>
      <c r="G13" s="7">
        <f t="shared" ca="1" si="1"/>
        <v>567</v>
      </c>
      <c r="H13" s="24">
        <f>IF(OR(RTD("cqg.rtd",,"ContractData",$A$5&amp;A13,"Contractmonth")="JUN",(RTD("cqg.rtd",,"ContractData",$A$5&amp;A13,"Contractmonth")="SEP"),(RTD("cqg.rtd",,"ContractData",$A$5&amp;A13,"Contractmonth")="DEC"),(RTD("cqg.rtd",,"ContractData",$A$5&amp;A13,"Contractmonth")="MAR")),1,0)</f>
        <v>1</v>
      </c>
      <c r="I13" s="12"/>
      <c r="J13" s="7">
        <f t="shared" si="7"/>
        <v>14118</v>
      </c>
      <c r="K13" s="47">
        <f>RTD("cqg.rtd", ,"ContractData", $A$5&amp;A13, "T_CVol")</f>
        <v>14118</v>
      </c>
      <c r="L13" s="7">
        <f xml:space="preserve"> RTD("cqg.rtd",,"StudyData", $A$5&amp;A13, "MA", "InputChoice=ContractVol,MAType=Sim,Period="&amp;$L$4&amp;"", "MA",,,"all",,,,"T")</f>
        <v>39340.400000000001</v>
      </c>
      <c r="M13" s="28">
        <f t="shared" si="8"/>
        <v>0</v>
      </c>
      <c r="N13" s="7">
        <f>RTD("cqg.rtd", ,"ContractData", $A$5&amp;A13, "Y_CVol")</f>
        <v>31431</v>
      </c>
      <c r="O13" s="31">
        <f t="shared" si="2"/>
        <v>0.44917438197957432</v>
      </c>
      <c r="P13" s="135">
        <f xml:space="preserve"> RTD("cqg.rtd",,"StudyData", "(MA("&amp;$A$5&amp;A13&amp;",Period:="&amp;$Q$5&amp;",MAType:=Sim,InputChoice:=ContractVol) when LocalYear("&amp;$A$5&amp;A13&amp;")="&amp;$R$5&amp;" And (LocalMonth("&amp;$A$5&amp;A13&amp;")="&amp;$P$4&amp;" And LocalDay("&amp;$A$5&amp;A13&amp;")="&amp;$Q$4&amp;" ))", "Bar", "", "Close","D", "0", "all", "", "","False",,)</f>
        <v>25499</v>
      </c>
      <c r="Q13" s="136"/>
      <c r="R13" s="137"/>
      <c r="S13" s="101"/>
      <c r="T13" s="7">
        <f t="shared" si="3"/>
        <v>87782</v>
      </c>
      <c r="U13" s="7">
        <f>IF(B13="","",RTD("cqg.rtd", ,"ContractData", $A$5&amp;A13, "COI"))</f>
        <v>87782</v>
      </c>
      <c r="V13" s="7">
        <f t="shared" si="4"/>
        <v>-1541</v>
      </c>
      <c r="W13" s="7">
        <f t="shared" si="5"/>
        <v>-1541</v>
      </c>
      <c r="X13" s="7">
        <f>IF(B13="","",RTD("cqg.rtd", ,"ContractData", $A$5&amp;A13, "P_OI"))</f>
        <v>89323</v>
      </c>
      <c r="Y13" s="17">
        <f t="shared" si="6"/>
        <v>0.98274800443334864</v>
      </c>
      <c r="Z13" s="119">
        <f>IF(RTD("cqg.rtd",,"StudyData",$A$5&amp;A13,"Vol","VolType=Exchange,CoCType=Contract","Vol",$Z$4,"0","ALL",,,"TRUE","T")="",0,RTD("cqg.rtd",,"StudyData",$A$5&amp;A13,"Vol","VolType=Exchange,CoCType=Contract","Vol",$Z$4,"0","ALL",,,"TRUE","T"))</f>
        <v>16</v>
      </c>
      <c r="AA13" s="119">
        <f ca="1">IFERROR(IF(B13="","",RTD("cqg.rtd",,"StudyData","Vol("&amp;$A$5&amp;A13&amp;") when (LocalDay("&amp;$A$5&amp;A13&amp;")="&amp;$C$1&amp;" and LocalHour("&amp;$A$5&amp;A13&amp;")="&amp;$E$1&amp;" and LocalMinute("&amp;$A$5&amp;$A13&amp;")="&amp;$F$1&amp;")","Bar",,"Vol",$Z$4,"0")),"")</f>
        <v>502</v>
      </c>
      <c r="AB13" s="122" t="str">
        <f>B12</f>
        <v>Jun 24</v>
      </c>
      <c r="AC13" s="74"/>
      <c r="AD13" s="74"/>
      <c r="AE13" s="75"/>
    </row>
    <row r="14" spans="1:31" x14ac:dyDescent="0.3">
      <c r="A14" s="2" t="s">
        <v>7</v>
      </c>
      <c r="B14" s="103" t="str">
        <f>RIGHT(RTD("cqg.rtd",,"ContractData",$A$5&amp;A14,"LongDescription"),6)</f>
        <v>Dec 24</v>
      </c>
      <c r="C14" s="59"/>
      <c r="D14" s="59"/>
      <c r="E14" s="59"/>
      <c r="F14" s="8">
        <f>IF(B14="","",RTD("cqg.rtd",,"ContractData",$A$5&amp;A14,"ExpirationDate",,"D"))</f>
        <v>45734</v>
      </c>
      <c r="G14" s="9">
        <f t="shared" ca="1" si="1"/>
        <v>658</v>
      </c>
      <c r="H14" s="24">
        <f>IF(OR(RTD("cqg.rtd",,"ContractData",$A$5&amp;A14,"Contractmonth")="JUN",(RTD("cqg.rtd",,"ContractData",$A$5&amp;A14,"Contractmonth")="SEP"),(RTD("cqg.rtd",,"ContractData",$A$5&amp;A14,"Contractmonth")="DEC"),(RTD("cqg.rtd",,"ContractData",$A$5&amp;A14,"Contractmonth")="MAR")),1,0)</f>
        <v>1</v>
      </c>
      <c r="I14" s="12"/>
      <c r="J14" s="9">
        <f t="shared" si="7"/>
        <v>24135</v>
      </c>
      <c r="K14" s="47">
        <f>RTD("cqg.rtd", ,"ContractData", $A$5&amp;A14, "T_CVol")</f>
        <v>24135</v>
      </c>
      <c r="L14" s="7">
        <f xml:space="preserve"> RTD("cqg.rtd",,"StudyData", $A$5&amp;A14, "MA", "InputChoice=ContractVol,MAType=Sim,Period="&amp;$L$4&amp;"", "MA",,,"all",,,,"T")</f>
        <v>46962.7</v>
      </c>
      <c r="M14" s="48">
        <f t="shared" si="8"/>
        <v>0</v>
      </c>
      <c r="N14" s="9">
        <f>RTD("cqg.rtd", ,"ContractData", $A$5&amp;A14, "Y_CVol")</f>
        <v>44306</v>
      </c>
      <c r="O14" s="32">
        <f t="shared" si="2"/>
        <v>0.54473434749243899</v>
      </c>
      <c r="P14" s="135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>25492</v>
      </c>
      <c r="Q14" s="136"/>
      <c r="R14" s="137"/>
      <c r="S14" s="101"/>
      <c r="T14" s="7">
        <f t="shared" si="3"/>
        <v>132604</v>
      </c>
      <c r="U14" s="7">
        <f>IF(B14="","",RTD("cqg.rtd", ,"ContractData", $A$5&amp;A14, "COI"))</f>
        <v>132604</v>
      </c>
      <c r="V14" s="7">
        <f t="shared" si="4"/>
        <v>6008</v>
      </c>
      <c r="W14" s="7">
        <f t="shared" si="5"/>
        <v>6008</v>
      </c>
      <c r="X14" s="7">
        <f>IF(B14="","",RTD("cqg.rtd", ,"ContractData", $A$5&amp;A14, "P_OI"))</f>
        <v>126596</v>
      </c>
      <c r="Y14" s="17">
        <f t="shared" si="6"/>
        <v>1.0474580555467787</v>
      </c>
      <c r="Z14" s="119">
        <f>IF(RTD("cqg.rtd",,"StudyData",$A$5&amp;A14,"Vol","VolType=Exchange,CoCType=Contract","Vol",$Z$4,"0","ALL",,,"TRUE","T")="",0,RTD("cqg.rtd",,"StudyData",$A$5&amp;A14,"Vol","VolType=Exchange,CoCType=Contract","Vol",$Z$4,"0","ALL",,,"TRUE","T"))</f>
        <v>0</v>
      </c>
      <c r="AA14" s="119">
        <f ca="1">IFERROR(IF(B14="","",RTD("cqg.rtd",,"StudyData","Vol("&amp;$A$5&amp;A14&amp;") when (LocalDay("&amp;$A$5&amp;A14&amp;")="&amp;$C$1&amp;" and LocalHour("&amp;$A$5&amp;A14&amp;")="&amp;$E$1&amp;" and LocalMinute("&amp;$A$5&amp;$A14&amp;")="&amp;$F$1&amp;")","Bar",,"Vol",$Z$4,"0")),"")</f>
        <v>1014</v>
      </c>
      <c r="AB14" s="122" t="str">
        <f>B14</f>
        <v>Dec 24</v>
      </c>
      <c r="AC14" s="74"/>
      <c r="AD14" s="74"/>
      <c r="AE14" s="75"/>
    </row>
    <row r="15" spans="1:31" ht="8.1" customHeight="1" x14ac:dyDescent="0.3">
      <c r="B15" s="64"/>
      <c r="C15" s="19"/>
      <c r="D15" s="19"/>
      <c r="E15" s="19"/>
      <c r="F15" s="20"/>
      <c r="G15" s="19"/>
      <c r="H15" s="25"/>
      <c r="I15" s="19"/>
      <c r="J15" s="19"/>
      <c r="K15" s="19"/>
      <c r="L15" s="50"/>
      <c r="M15" s="21"/>
      <c r="N15" s="19"/>
      <c r="O15" s="33"/>
      <c r="P15" s="73"/>
      <c r="Q15" s="73"/>
      <c r="R15" s="73"/>
      <c r="S15" s="102"/>
      <c r="T15" s="19"/>
      <c r="U15" s="19"/>
      <c r="V15" s="19"/>
      <c r="W15" s="19"/>
      <c r="X15" s="19"/>
      <c r="Y15" s="19"/>
      <c r="Z15" s="50"/>
      <c r="AA15" s="127"/>
      <c r="AB15" s="94"/>
      <c r="AC15" s="22"/>
      <c r="AD15" s="22"/>
      <c r="AE15" s="29"/>
    </row>
    <row r="16" spans="1:31" x14ac:dyDescent="0.3">
      <c r="A16" s="2" t="s">
        <v>8</v>
      </c>
      <c r="B16" s="104" t="str">
        <f>RIGHT(RTD("cqg.rtd",,"ContractData",$A$5&amp;A16,"LongDescription"),6)</f>
        <v>Mar 25</v>
      </c>
      <c r="C16" s="60"/>
      <c r="D16" s="60"/>
      <c r="E16" s="60"/>
      <c r="F16" s="18">
        <f>IF(B16="","",RTD("cqg.rtd",,"ContractData",$A$5&amp;A16,"ExpirationDate",,"D"))</f>
        <v>45825</v>
      </c>
      <c r="G16" s="14">
        <f t="shared" ca="1" si="1"/>
        <v>749</v>
      </c>
      <c r="H16" s="24"/>
      <c r="I16" s="12"/>
      <c r="J16" s="14">
        <f t="shared" si="7"/>
        <v>18781</v>
      </c>
      <c r="K16" s="47">
        <f>RTD("cqg.rtd", ,"ContractData", $A$5&amp;A16, "T_CVol")</f>
        <v>18781</v>
      </c>
      <c r="L16" s="7">
        <f xml:space="preserve"> RTD("cqg.rtd",,"StudyData", $A$5&amp;A16, "MA", "InputChoice=ContractVol,MAType=Sim,Period="&amp;$L$4&amp;"", "MA",,,"all",,,,"T")</f>
        <v>28845.599999999999</v>
      </c>
      <c r="M16" s="49">
        <f t="shared" si="8"/>
        <v>0</v>
      </c>
      <c r="N16" s="14">
        <f>RTD("cqg.rtd", ,"ContractData", $A$5&amp;A16, "Y_CVol")</f>
        <v>26228</v>
      </c>
      <c r="O16" s="34">
        <f t="shared" si="2"/>
        <v>0.71606679884093338</v>
      </c>
      <c r="P16" s="135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18625</v>
      </c>
      <c r="Q16" s="136"/>
      <c r="R16" s="137"/>
      <c r="S16" s="101"/>
      <c r="T16" s="13">
        <f t="shared" si="3"/>
        <v>70103</v>
      </c>
      <c r="U16" s="14">
        <f>IF(B16="","",RTD("cqg.rtd", ,"ContractData", $A$5&amp;A16, "COI"))</f>
        <v>70103</v>
      </c>
      <c r="V16" s="14">
        <f t="shared" si="4"/>
        <v>-95</v>
      </c>
      <c r="W16" s="7">
        <f t="shared" si="5"/>
        <v>-95</v>
      </c>
      <c r="X16" s="14">
        <f>IF(B16="","",RTD("cqg.rtd", ,"ContractData", $A$5&amp;A16, "P_OI"))</f>
        <v>70198</v>
      </c>
      <c r="Y16" s="15">
        <f t="shared" si="6"/>
        <v>0.99864668509074328</v>
      </c>
      <c r="Z16" s="119">
        <f>IF(RTD("cqg.rtd",,"StudyData",$A$5&amp;A16,"Vol","VolType=Exchange,CoCType=Contract","Vol",$Z$4,"0","ALL",,,"TRUE","T")="",0,RTD("cqg.rtd",,"StudyData",$A$5&amp;A16,"Vol","VolType=Exchange,CoCType=Contract","Vol",$Z$4,"0","ALL",,,"TRUE","T"))</f>
        <v>0</v>
      </c>
      <c r="AA16" s="119">
        <f ca="1">IFERROR(IF(B16="","",RTD("cqg.rtd",,"StudyData","Vol("&amp;$A$5&amp;A16&amp;") when (LocalDay("&amp;$A$5&amp;A16&amp;")="&amp;$C$1&amp;" and LocalHour("&amp;$A$5&amp;A16&amp;")="&amp;$E$1&amp;" and LocalMinute("&amp;$A$5&amp;$A16&amp;")="&amp;$F$1&amp;")","Bar",,"Vol",$Z$4,"0")),"")</f>
        <v>284</v>
      </c>
      <c r="AB16" s="123" t="str">
        <f>B16</f>
        <v>Mar 25</v>
      </c>
      <c r="AC16" s="76"/>
      <c r="AD16" s="76"/>
      <c r="AE16" s="77"/>
    </row>
    <row r="17" spans="1:31" x14ac:dyDescent="0.3">
      <c r="A17" s="2" t="s">
        <v>9</v>
      </c>
      <c r="B17" s="66" t="str">
        <f>RIGHT(RTD("cqg.rtd",,"ContractData",$A$5&amp;A17,"LongDescription"),6)</f>
        <v>Jun 25</v>
      </c>
      <c r="C17" s="56"/>
      <c r="D17" s="56"/>
      <c r="E17" s="56"/>
      <c r="F17" s="6">
        <f>IF(B17="","",RTD("cqg.rtd",,"ContractData",$A$5&amp;A17,"ExpirationDate",,"D"))</f>
        <v>45916</v>
      </c>
      <c r="G17" s="7">
        <f t="shared" ca="1" si="1"/>
        <v>840</v>
      </c>
      <c r="H17" s="24"/>
      <c r="I17" s="12"/>
      <c r="J17" s="7">
        <f t="shared" si="7"/>
        <v>7700</v>
      </c>
      <c r="K17" s="47">
        <f>RTD("cqg.rtd", ,"ContractData", $A$5&amp;A17, "T_CVol")</f>
        <v>7700</v>
      </c>
      <c r="L17" s="7">
        <f xml:space="preserve"> RTD("cqg.rtd",,"StudyData", $A$5&amp;A17, "MA", "InputChoice=ContractVol,MAType=Sim,Period="&amp;$L$4&amp;"", "MA",,,"all",,,,"T")</f>
        <v>16535.599999999999</v>
      </c>
      <c r="M17" s="28">
        <f t="shared" si="8"/>
        <v>0</v>
      </c>
      <c r="N17" s="7">
        <f>RTD("cqg.rtd", ,"ContractData", $A$5&amp;A17, "Y_CVol")</f>
        <v>14244</v>
      </c>
      <c r="O17" s="31">
        <f t="shared" si="2"/>
        <v>0.54057848918843021</v>
      </c>
      <c r="P17" s="135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11966</v>
      </c>
      <c r="Q17" s="136"/>
      <c r="R17" s="137"/>
      <c r="S17" s="101"/>
      <c r="T17" s="16">
        <f t="shared" si="3"/>
        <v>47706</v>
      </c>
      <c r="U17" s="7">
        <f>IF(B17="","",RTD("cqg.rtd", ,"ContractData", $A$5&amp;A17, "COI"))</f>
        <v>47706</v>
      </c>
      <c r="V17" s="7">
        <f t="shared" si="4"/>
        <v>735</v>
      </c>
      <c r="W17" s="7">
        <f t="shared" si="5"/>
        <v>735</v>
      </c>
      <c r="X17" s="7">
        <f>IF(B17="","",RTD("cqg.rtd", ,"ContractData", $A$5&amp;A17, "P_OI"))</f>
        <v>46971</v>
      </c>
      <c r="Y17" s="17">
        <f t="shared" si="6"/>
        <v>1.0156479529922717</v>
      </c>
      <c r="Z17" s="119">
        <f>IF(RTD("cqg.rtd",,"StudyData",$A$5&amp;A17,"Vol","VolType=Exchange,CoCType=Contract","Vol",$Z$4,"0","ALL",,,"TRUE","T")="",0,RTD("cqg.rtd",,"StudyData",$A$5&amp;A17,"Vol","VolType=Exchange,CoCType=Contract","Vol",$Z$4,"0","ALL",,,"TRUE","T"))</f>
        <v>0</v>
      </c>
      <c r="AA17" s="119">
        <f ca="1">IFERROR(IF(B17="","",RTD("cqg.rtd",,"StudyData","Vol("&amp;$A$5&amp;A17&amp;") when (LocalDay("&amp;$A$5&amp;A17&amp;")="&amp;$C$1&amp;" and LocalHour("&amp;$A$5&amp;A17&amp;")="&amp;$E$1&amp;" and LocalMinute("&amp;$A$5&amp;$A17&amp;")="&amp;$F$1&amp;")","Bar",,"Vol",$Z$4,"0")),"")</f>
        <v>419</v>
      </c>
      <c r="AB17" s="123" t="str">
        <f>B17</f>
        <v>Jun 25</v>
      </c>
      <c r="AC17" s="76"/>
      <c r="AD17" s="76"/>
      <c r="AE17" s="77"/>
    </row>
    <row r="18" spans="1:31" x14ac:dyDescent="0.3">
      <c r="A18" s="2" t="s">
        <v>10</v>
      </c>
      <c r="B18" s="66" t="str">
        <f>RIGHT(RTD("cqg.rtd",,"ContractData",$A$5&amp;A18,"LongDescription"),6)</f>
        <v>Sep 25</v>
      </c>
      <c r="C18" s="56"/>
      <c r="D18" s="56"/>
      <c r="E18" s="56"/>
      <c r="F18" s="6">
        <f>IF(B18="","",RTD("cqg.rtd",,"ContractData",$A$5&amp;A18,"ExpirationDate",,"D"))</f>
        <v>46007</v>
      </c>
      <c r="G18" s="7">
        <f t="shared" ca="1" si="1"/>
        <v>931</v>
      </c>
      <c r="H18" s="24"/>
      <c r="I18" s="12"/>
      <c r="J18" s="7">
        <f t="shared" si="7"/>
        <v>5800</v>
      </c>
      <c r="K18" s="47">
        <f>RTD("cqg.rtd", ,"ContractData", $A$5&amp;A18, "T_CVol")</f>
        <v>5800</v>
      </c>
      <c r="L18" s="7">
        <f xml:space="preserve"> RTD("cqg.rtd",,"StudyData", $A$5&amp;A18, "MA", "InputChoice=ContractVol,MAType=Sim,Period="&amp;$L$4&amp;"", "MA",,,"all",,,,"T")</f>
        <v>14015.2</v>
      </c>
      <c r="M18" s="28">
        <f t="shared" si="8"/>
        <v>0</v>
      </c>
      <c r="N18" s="7">
        <f>RTD("cqg.rtd", ,"ContractData", $A$5&amp;A18, "Y_CVol")</f>
        <v>12975</v>
      </c>
      <c r="O18" s="31">
        <f t="shared" si="2"/>
        <v>0.44701348747591524</v>
      </c>
      <c r="P18" s="135">
        <f xml:space="preserve"> RTD("cqg.rtd",,"StudyData", "(MA("&amp;$A$5&amp;A18&amp;",Period:="&amp;$Q$5&amp;",MAType:=Sim,InputChoice:=ContractVol) when LocalYear("&amp;$A$5&amp;A18&amp;")="&amp;$R$5&amp;" And (LocalMonth("&amp;$A$5&amp;A18&amp;")="&amp;$P$4&amp;" And LocalDay("&amp;$A$5&amp;A18&amp;")="&amp;$Q$4&amp;" ))", "Bar", "", "Close","D", "0", "all", "", "","False",,)</f>
        <v>9791</v>
      </c>
      <c r="Q18" s="136"/>
      <c r="R18" s="137"/>
      <c r="S18" s="101"/>
      <c r="T18" s="16">
        <f t="shared" si="3"/>
        <v>39519</v>
      </c>
      <c r="U18" s="7">
        <f>IF(B18="","",RTD("cqg.rtd", ,"ContractData", $A$5&amp;A18, "COI"))</f>
        <v>39519</v>
      </c>
      <c r="V18" s="7">
        <f t="shared" si="4"/>
        <v>687</v>
      </c>
      <c r="W18" s="7">
        <f t="shared" si="5"/>
        <v>687</v>
      </c>
      <c r="X18" s="7">
        <f>IF(B18="","",RTD("cqg.rtd", ,"ContractData", $A$5&amp;A18, "P_OI"))</f>
        <v>38832</v>
      </c>
      <c r="Y18" s="17">
        <f t="shared" si="6"/>
        <v>1.0176915945611866</v>
      </c>
      <c r="Z18" s="119">
        <f>IF(RTD("cqg.rtd",,"StudyData",$A$5&amp;A18,"Vol","VolType=Exchange,CoCType=Contract","Vol",$Z$4,"0","ALL",,,"TRUE","T")="",0,RTD("cqg.rtd",,"StudyData",$A$5&amp;A18,"Vol","VolType=Exchange,CoCType=Contract","Vol",$Z$4,"0","ALL",,,"TRUE","T"))</f>
        <v>0</v>
      </c>
      <c r="AA18" s="119">
        <f ca="1">IFERROR(IF(B18="","",RTD("cqg.rtd",,"StudyData","Vol("&amp;$A$5&amp;A18&amp;") when (LocalDay("&amp;$A$5&amp;A18&amp;")="&amp;$C$1&amp;" and LocalHour("&amp;$A$5&amp;A18&amp;")="&amp;$E$1&amp;" and LocalMinute("&amp;$A$5&amp;$A18&amp;")="&amp;$F$1&amp;")","Bar",,"Vol",$Z$4,"0")),"")</f>
        <v>375</v>
      </c>
      <c r="AB18" s="123" t="str">
        <f>B18</f>
        <v>Sep 25</v>
      </c>
      <c r="AC18" s="76"/>
      <c r="AD18" s="76"/>
      <c r="AE18" s="77"/>
    </row>
    <row r="19" spans="1:31" x14ac:dyDescent="0.3">
      <c r="A19" s="2" t="s">
        <v>11</v>
      </c>
      <c r="B19" s="66" t="str">
        <f>RIGHT(RTD("cqg.rtd",,"ContractData",$A$5&amp;A19,"LongDescription"),6)</f>
        <v>Dec 25</v>
      </c>
      <c r="C19" s="56"/>
      <c r="D19" s="56"/>
      <c r="E19" s="56"/>
      <c r="F19" s="6">
        <f>IF(B19="","",RTD("cqg.rtd",,"ContractData",$A$5&amp;A19,"ExpirationDate",,"D"))</f>
        <v>46098</v>
      </c>
      <c r="G19" s="7">
        <f t="shared" ca="1" si="1"/>
        <v>1022</v>
      </c>
      <c r="H19" s="24"/>
      <c r="I19" s="12"/>
      <c r="J19" s="7">
        <f t="shared" si="7"/>
        <v>4909</v>
      </c>
      <c r="K19" s="47">
        <f>RTD("cqg.rtd", ,"ContractData", $A$5&amp;A19, "T_CVol")</f>
        <v>4909</v>
      </c>
      <c r="L19" s="7">
        <f xml:space="preserve"> RTD("cqg.rtd",,"StudyData", $A$5&amp;A19, "MA", "InputChoice=ContractVol,MAType=Sim,Period="&amp;$L$4&amp;"", "MA",,,"all",,,,"T")</f>
        <v>12861.8</v>
      </c>
      <c r="M19" s="28">
        <f t="shared" si="8"/>
        <v>0</v>
      </c>
      <c r="N19" s="7">
        <f>RTD("cqg.rtd", ,"ContractData", $A$5&amp;A19, "Y_CVol")</f>
        <v>13599</v>
      </c>
      <c r="O19" s="31">
        <f t="shared" si="2"/>
        <v>0.36098242517832191</v>
      </c>
      <c r="P19" s="135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>7994</v>
      </c>
      <c r="Q19" s="136"/>
      <c r="R19" s="137"/>
      <c r="S19" s="101"/>
      <c r="T19" s="16">
        <f t="shared" si="3"/>
        <v>46141</v>
      </c>
      <c r="U19" s="7">
        <f>IF(B19="","",RTD("cqg.rtd", ,"ContractData", $A$5&amp;A19, "COI"))</f>
        <v>46141</v>
      </c>
      <c r="V19" s="7">
        <f t="shared" si="4"/>
        <v>-553</v>
      </c>
      <c r="W19" s="7">
        <f t="shared" si="5"/>
        <v>-553</v>
      </c>
      <c r="X19" s="7">
        <f>IF(B19="","",RTD("cqg.rtd", ,"ContractData", $A$5&amp;A19, "P_OI"))</f>
        <v>46694</v>
      </c>
      <c r="Y19" s="17">
        <f t="shared" si="6"/>
        <v>0.98815693665138993</v>
      </c>
      <c r="Z19" s="119">
        <f>IF(RTD("cqg.rtd",,"StudyData",$A$5&amp;A19,"Vol","VolType=Exchange,CoCType=Contract","Vol",$Z$4,"0","ALL",,,"TRUE","T")="",0,RTD("cqg.rtd",,"StudyData",$A$5&amp;A19,"Vol","VolType=Exchange,CoCType=Contract","Vol",$Z$4,"0","ALL",,,"TRUE","T"))</f>
        <v>0</v>
      </c>
      <c r="AA19" s="119">
        <f ca="1">IFERROR(IF(B19="","",RTD("cqg.rtd",,"StudyData","Vol("&amp;$A$5&amp;A19&amp;") when (LocalDay("&amp;$A$5&amp;A19&amp;")="&amp;$C$1&amp;" and LocalHour("&amp;$A$5&amp;A19&amp;")="&amp;$E$1&amp;" and LocalMinute("&amp;$A$5&amp;$A19&amp;")="&amp;$F$1&amp;")","Bar",,"Vol",$Z$4,"0")),"")</f>
        <v>256</v>
      </c>
      <c r="AB19" s="123" t="str">
        <f>B19</f>
        <v>Dec 25</v>
      </c>
      <c r="AC19" s="76"/>
      <c r="AD19" s="76"/>
      <c r="AE19" s="77"/>
    </row>
    <row r="20" spans="1:31" ht="8.1" customHeight="1" x14ac:dyDescent="0.3">
      <c r="B20" s="64"/>
      <c r="C20" s="19"/>
      <c r="D20" s="19"/>
      <c r="E20" s="19"/>
      <c r="F20" s="20"/>
      <c r="G20" s="19"/>
      <c r="H20" s="25"/>
      <c r="I20" s="19"/>
      <c r="J20" s="19"/>
      <c r="K20" s="19"/>
      <c r="L20" s="50"/>
      <c r="M20" s="21"/>
      <c r="N20" s="19"/>
      <c r="O20" s="33"/>
      <c r="P20" s="73"/>
      <c r="Q20" s="73"/>
      <c r="R20" s="73"/>
      <c r="S20" s="102"/>
      <c r="T20" s="19"/>
      <c r="U20" s="19"/>
      <c r="V20" s="19"/>
      <c r="W20" s="19"/>
      <c r="X20" s="19"/>
      <c r="Y20" s="19"/>
      <c r="Z20" s="50"/>
      <c r="AA20" s="127"/>
      <c r="AB20" s="94"/>
      <c r="AC20" s="22"/>
      <c r="AD20" s="22"/>
      <c r="AE20" s="29"/>
    </row>
    <row r="21" spans="1:31" x14ac:dyDescent="0.3">
      <c r="A21" s="2" t="s">
        <v>12</v>
      </c>
      <c r="B21" s="67" t="str">
        <f>RIGHT(RTD("cqg.rtd",,"ContractData",$A$5&amp;A21,"LongDescription"),6)</f>
        <v>Mar 26</v>
      </c>
      <c r="C21" s="54"/>
      <c r="D21" s="54"/>
      <c r="E21" s="54"/>
      <c r="F21" s="6">
        <f>IF(B21="","",RTD("cqg.rtd",,"ContractData",$A$5&amp;A21,"ExpirationDate",,"D"))</f>
        <v>46189</v>
      </c>
      <c r="G21" s="7">
        <f t="shared" ca="1" si="1"/>
        <v>1113</v>
      </c>
      <c r="H21" s="24"/>
      <c r="I21" s="12"/>
      <c r="J21" s="7">
        <f t="shared" si="7"/>
        <v>4004</v>
      </c>
      <c r="K21" s="47">
        <f>RTD("cqg.rtd", ,"ContractData", $A$5&amp;A21, "T_CVol")</f>
        <v>4004</v>
      </c>
      <c r="L21" s="7">
        <f xml:space="preserve"> RTD("cqg.rtd",,"StudyData", $A$5&amp;A21, "MA", "InputChoice=ContractVol,MAType=Sim,Period="&amp;$L$4&amp;"", "MA",,,"all",,,,"T")</f>
        <v>8591.2999999999993</v>
      </c>
      <c r="M21" s="28">
        <f t="shared" si="8"/>
        <v>0</v>
      </c>
      <c r="N21" s="7">
        <f>RTD("cqg.rtd", ,"ContractData", $A$5&amp;A21, "Y_CVol")</f>
        <v>7015</v>
      </c>
      <c r="O21" s="31">
        <f t="shared" si="2"/>
        <v>0.57077690662865288</v>
      </c>
      <c r="P21" s="135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6351</v>
      </c>
      <c r="Q21" s="136"/>
      <c r="R21" s="137"/>
      <c r="S21" s="101"/>
      <c r="T21" s="7">
        <f t="shared" si="3"/>
        <v>41513</v>
      </c>
      <c r="U21" s="7">
        <f>IF(B21="","",RTD("cqg.rtd", ,"ContractData", $A$5&amp;A21, "COI"))</f>
        <v>41513</v>
      </c>
      <c r="V21" s="7">
        <f t="shared" si="4"/>
        <v>275</v>
      </c>
      <c r="W21" s="7">
        <f t="shared" si="5"/>
        <v>275</v>
      </c>
      <c r="X21" s="7">
        <f>IF(B21="","",RTD("cqg.rtd", ,"ContractData", $A$5&amp;A21, "P_OI"))</f>
        <v>41238</v>
      </c>
      <c r="Y21" s="17">
        <f t="shared" si="6"/>
        <v>1.0066686066249575</v>
      </c>
      <c r="Z21" s="119">
        <f>IF(RTD("cqg.rtd",,"StudyData",$A$5&amp;A21,"Vol","VolType=Exchange,CoCType=Contract","Vol",$Z$4,"0","ALL",,,"TRUE","T")="",0,RTD("cqg.rtd",,"StudyData",$A$5&amp;A21,"Vol","VolType=Exchange,CoCType=Contract","Vol",$Z$4,"0","ALL",,,"TRUE","T"))</f>
        <v>0</v>
      </c>
      <c r="AA21" s="119">
        <f ca="1">IFERROR(IF(B21="","",RTD("cqg.rtd",,"StudyData","Vol("&amp;$A$5&amp;A21&amp;") when (LocalDay("&amp;$A$5&amp;A21&amp;")="&amp;$C$1&amp;" and LocalHour("&amp;$A$5&amp;A21&amp;")="&amp;$E$1&amp;" and LocalMinute("&amp;$A$5&amp;$A21&amp;")="&amp;$F$1&amp;")","Bar",,"Vol",$Z$4,"0")),"")</f>
        <v>106</v>
      </c>
      <c r="AB21" s="124" t="str">
        <f>B21</f>
        <v>Mar 26</v>
      </c>
      <c r="AC21" s="78"/>
      <c r="AD21" s="78"/>
      <c r="AE21" s="79"/>
    </row>
    <row r="22" spans="1:31" x14ac:dyDescent="0.3">
      <c r="A22" s="2" t="s">
        <v>13</v>
      </c>
      <c r="B22" s="67" t="str">
        <f>RIGHT(RTD("cqg.rtd",,"ContractData",$A$5&amp;A22,"LongDescription"),6)</f>
        <v>Jun 26</v>
      </c>
      <c r="C22" s="54"/>
      <c r="D22" s="54"/>
      <c r="E22" s="54"/>
      <c r="F22" s="6">
        <f>IF(B22="","",RTD("cqg.rtd",,"ContractData",$A$5&amp;A22,"ExpirationDate",,"D"))</f>
        <v>46280</v>
      </c>
      <c r="G22" s="7">
        <f t="shared" ca="1" si="1"/>
        <v>1204</v>
      </c>
      <c r="H22" s="24"/>
      <c r="I22" s="12"/>
      <c r="J22" s="7">
        <f t="shared" si="7"/>
        <v>3289</v>
      </c>
      <c r="K22" s="47">
        <f>RTD("cqg.rtd", ,"ContractData", $A$5&amp;A22, "T_CVol")</f>
        <v>3289</v>
      </c>
      <c r="L22" s="7">
        <f xml:space="preserve"> RTD("cqg.rtd",,"StudyData", $A$5&amp;A22, "MA", "InputChoice=ContractVol,MAType=Sim,Period="&amp;$L$4&amp;"", "MA",,,"all",,,,"T")</f>
        <v>4248.3999999999996</v>
      </c>
      <c r="M22" s="28">
        <f t="shared" si="8"/>
        <v>0</v>
      </c>
      <c r="N22" s="7">
        <f>RTD("cqg.rtd", ,"ContractData", $A$5&amp;A22, "Y_CVol")</f>
        <v>3243</v>
      </c>
      <c r="O22" s="31">
        <f t="shared" si="2"/>
        <v>1.0141843971631206</v>
      </c>
      <c r="P22" s="135">
        <f xml:space="preserve"> RTD("cqg.rtd",,"StudyData", "(MA("&amp;$A$5&amp;A22&amp;",Period:="&amp;$Q$5&amp;",MAType:=Sim,InputChoice:=ContractVol) when LocalYear("&amp;$A$5&amp;A22&amp;")="&amp;$R$5&amp;" And (LocalMonth("&amp;$A$5&amp;A22&amp;")="&amp;$P$4&amp;" And LocalDay("&amp;$A$5&amp;A22&amp;")="&amp;$Q$4&amp;" ))", "Bar", "", "Close","D", "0", "all", "", "","False",,)</f>
        <v>2914</v>
      </c>
      <c r="Q22" s="136"/>
      <c r="R22" s="137"/>
      <c r="S22" s="101"/>
      <c r="T22" s="7">
        <f t="shared" si="3"/>
        <v>15659</v>
      </c>
      <c r="U22" s="7">
        <f>IF(B22="","",RTD("cqg.rtd", ,"ContractData", $A$5&amp;A22, "COI"))</f>
        <v>15659</v>
      </c>
      <c r="V22" s="7">
        <f t="shared" si="4"/>
        <v>-96</v>
      </c>
      <c r="W22" s="7">
        <f t="shared" si="5"/>
        <v>-96</v>
      </c>
      <c r="X22" s="7">
        <f>IF(B22="","",RTD("cqg.rtd", ,"ContractData", $A$5&amp;A22, "P_OI"))</f>
        <v>15755</v>
      </c>
      <c r="Y22" s="17">
        <f t="shared" si="6"/>
        <v>0.9939066962868931</v>
      </c>
      <c r="Z22" s="119">
        <f>IF(RTD("cqg.rtd",,"StudyData",$A$5&amp;A22,"Vol","VolType=Exchange,CoCType=Contract","Vol",$Z$4,"0","ALL",,,"TRUE","T")="",0,RTD("cqg.rtd",,"StudyData",$A$5&amp;A22,"Vol","VolType=Exchange,CoCType=Contract","Vol",$Z$4,"0","ALL",,,"TRUE","T"))</f>
        <v>0</v>
      </c>
      <c r="AA22" s="119">
        <f ca="1">IFERROR(IF(B22="","",RTD("cqg.rtd",,"StudyData","Vol("&amp;$A$5&amp;A22&amp;") when (LocalDay("&amp;$A$5&amp;A22&amp;")="&amp;$C$1&amp;" and LocalHour("&amp;$A$5&amp;A22&amp;")="&amp;$E$1&amp;" and LocalMinute("&amp;$A$5&amp;$A22&amp;")="&amp;$F$1&amp;")","Bar",,"Vol",$Z$4,"0")),"")</f>
        <v>120</v>
      </c>
      <c r="AB22" s="124" t="str">
        <f>B22</f>
        <v>Jun 26</v>
      </c>
      <c r="AC22" s="78"/>
      <c r="AD22" s="78"/>
      <c r="AE22" s="79"/>
    </row>
    <row r="23" spans="1:31" x14ac:dyDescent="0.3">
      <c r="A23" s="2" t="s">
        <v>14</v>
      </c>
      <c r="B23" s="67" t="str">
        <f>RIGHT(RTD("cqg.rtd",,"ContractData",$A$5&amp;A23,"LongDescription"),6)</f>
        <v>Sep 26</v>
      </c>
      <c r="C23" s="54"/>
      <c r="D23" s="54"/>
      <c r="E23" s="54"/>
      <c r="F23" s="6">
        <f>IF(B23="","",RTD("cqg.rtd",,"ContractData",$A$5&amp;A23,"ExpirationDate",,"D"))</f>
        <v>46371</v>
      </c>
      <c r="G23" s="7">
        <f t="shared" ca="1" si="1"/>
        <v>1295</v>
      </c>
      <c r="H23" s="24"/>
      <c r="I23" s="12"/>
      <c r="J23" s="7">
        <f t="shared" si="7"/>
        <v>2506</v>
      </c>
      <c r="K23" s="47">
        <f>RTD("cqg.rtd", ,"ContractData", $A$5&amp;A23, "T_CVol")</f>
        <v>2506</v>
      </c>
      <c r="L23" s="7">
        <f xml:space="preserve"> RTD("cqg.rtd",,"StudyData", $A$5&amp;A23, "MA", "InputChoice=ContractVol,MAType=Sim,Period="&amp;$L$4&amp;"", "MA",,,"all",,,,"T")</f>
        <v>4501.8</v>
      </c>
      <c r="M23" s="28">
        <f t="shared" si="8"/>
        <v>0</v>
      </c>
      <c r="N23" s="7">
        <f>RTD("cqg.rtd", ,"ContractData", $A$5&amp;A23, "Y_CVol")</f>
        <v>3044</v>
      </c>
      <c r="O23" s="31">
        <f t="shared" si="2"/>
        <v>0.82325886990801578</v>
      </c>
      <c r="P23" s="135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2907</v>
      </c>
      <c r="Q23" s="136"/>
      <c r="R23" s="137"/>
      <c r="S23" s="101"/>
      <c r="T23" s="7">
        <f t="shared" si="3"/>
        <v>14795</v>
      </c>
      <c r="U23" s="7">
        <f>IF(B23="","",RTD("cqg.rtd", ,"ContractData", $A$5&amp;A23, "COI"))</f>
        <v>14795</v>
      </c>
      <c r="V23" s="7">
        <f t="shared" si="4"/>
        <v>-150</v>
      </c>
      <c r="W23" s="7">
        <f t="shared" si="5"/>
        <v>-150</v>
      </c>
      <c r="X23" s="7">
        <f>IF(B23="","",RTD("cqg.rtd", ,"ContractData", $A$5&amp;A23, "P_OI"))</f>
        <v>14945</v>
      </c>
      <c r="Y23" s="17">
        <f t="shared" si="6"/>
        <v>0.98996319839411173</v>
      </c>
      <c r="Z23" s="119">
        <f>IF(RTD("cqg.rtd",,"StudyData",$A$5&amp;A23,"Vol","VolType=Exchange,CoCType=Contract","Vol",$Z$4,"0","ALL",,,"TRUE","T")="",0,RTD("cqg.rtd",,"StudyData",$A$5&amp;A23,"Vol","VolType=Exchange,CoCType=Contract","Vol",$Z$4,"0","ALL",,,"TRUE","T"))</f>
        <v>0</v>
      </c>
      <c r="AA23" s="119">
        <f ca="1">IFERROR(IF(B23="","",RTD("cqg.rtd",,"StudyData","Vol("&amp;$A$5&amp;A23&amp;") when (LocalDay("&amp;$A$5&amp;A23&amp;")="&amp;$C$1&amp;" and LocalHour("&amp;$A$5&amp;A23&amp;")="&amp;$E$1&amp;" and LocalMinute("&amp;$A$5&amp;$A23&amp;")="&amp;$F$1&amp;")","Bar",,"Vol",$Z$4,"0")),"")</f>
        <v>49</v>
      </c>
      <c r="AB23" s="124" t="str">
        <f>B23</f>
        <v>Sep 26</v>
      </c>
      <c r="AC23" s="78"/>
      <c r="AD23" s="78"/>
      <c r="AE23" s="79"/>
    </row>
    <row r="24" spans="1:31" x14ac:dyDescent="0.3">
      <c r="A24" s="2" t="s">
        <v>15</v>
      </c>
      <c r="B24" s="67" t="str">
        <f>RIGHT(RTD("cqg.rtd",,"ContractData",$A$5&amp;A24,"LongDescription"),6)</f>
        <v>Dec 26</v>
      </c>
      <c r="C24" s="54"/>
      <c r="D24" s="54"/>
      <c r="E24" s="54"/>
      <c r="F24" s="6">
        <f>IF(B24="","",RTD("cqg.rtd",,"ContractData",$A$5&amp;A24,"ExpirationDate",,"D"))</f>
        <v>46462</v>
      </c>
      <c r="G24" s="7">
        <f t="shared" ca="1" si="1"/>
        <v>1386</v>
      </c>
      <c r="H24" s="24"/>
      <c r="I24" s="12"/>
      <c r="J24" s="7">
        <f t="shared" si="7"/>
        <v>2447</v>
      </c>
      <c r="K24" s="47">
        <f>RTD("cqg.rtd", ,"ContractData", $A$5&amp;A24, "T_CVol")</f>
        <v>2447</v>
      </c>
      <c r="L24" s="7">
        <f xml:space="preserve"> RTD("cqg.rtd",,"StudyData", $A$5&amp;A24, "MA", "InputChoice=ContractVol,MAType=Sim,Period="&amp;$L$4&amp;"", "MA",,,"all",,,,"T")</f>
        <v>4376.8</v>
      </c>
      <c r="M24" s="28">
        <f t="shared" si="8"/>
        <v>0</v>
      </c>
      <c r="N24" s="7">
        <f>RTD("cqg.rtd", ,"ContractData", $A$5&amp;A24, "Y_CVol")</f>
        <v>3792</v>
      </c>
      <c r="O24" s="31">
        <f t="shared" si="2"/>
        <v>0.64530590717299574</v>
      </c>
      <c r="P24" s="135">
        <f xml:space="preserve"> RTD("cqg.rtd",,"StudyData", "(MA("&amp;$A$5&amp;A24&amp;",Period:="&amp;$Q$5&amp;",MAType:=Sim,InputChoice:=ContractVol) when LocalYear("&amp;$A$5&amp;A24&amp;")="&amp;$R$5&amp;" And (LocalMonth("&amp;$A$5&amp;A24&amp;")="&amp;$P$4&amp;" And LocalDay("&amp;$A$5&amp;A24&amp;")="&amp;$Q$4&amp;" ))", "Bar", "", "Close","D", "0", "all", "", "","False",,)</f>
        <v>2594</v>
      </c>
      <c r="Q24" s="136"/>
      <c r="R24" s="137"/>
      <c r="S24" s="101"/>
      <c r="T24" s="7">
        <f t="shared" si="3"/>
        <v>17745</v>
      </c>
      <c r="U24" s="7">
        <f>IF(B24="","",RTD("cqg.rtd", ,"ContractData", $A$5&amp;A24, "COI"))</f>
        <v>17745</v>
      </c>
      <c r="V24" s="7">
        <f t="shared" si="4"/>
        <v>908</v>
      </c>
      <c r="W24" s="7">
        <f t="shared" si="5"/>
        <v>908</v>
      </c>
      <c r="X24" s="7">
        <f>IF(B24="","",RTD("cqg.rtd", ,"ContractData", $A$5&amp;A24, "P_OI"))</f>
        <v>16837</v>
      </c>
      <c r="Y24" s="17">
        <f t="shared" si="6"/>
        <v>1.053928847181802</v>
      </c>
      <c r="Z24" s="119">
        <f>IF(RTD("cqg.rtd",,"StudyData",$A$5&amp;A24,"Vol","VolType=Exchange,CoCType=Contract","Vol",$Z$4,"0","ALL",,,"TRUE","T")="",0,RTD("cqg.rtd",,"StudyData",$A$5&amp;A24,"Vol","VolType=Exchange,CoCType=Contract","Vol",$Z$4,"0","ALL",,,"TRUE","T"))</f>
        <v>0</v>
      </c>
      <c r="AA24" s="119">
        <f ca="1">IFERROR(IF(B24="","",RTD("cqg.rtd",,"StudyData","Vol("&amp;$A$5&amp;A24&amp;") when (LocalDay("&amp;$A$5&amp;A24&amp;")="&amp;$C$1&amp;" and LocalHour("&amp;$A$5&amp;A24&amp;")="&amp;$E$1&amp;" and LocalMinute("&amp;$A$5&amp;$A24&amp;")="&amp;$F$1&amp;")","Bar",,"Vol",$Z$4,"0")),"")</f>
        <v>27</v>
      </c>
      <c r="AB24" s="124" t="str">
        <f>B24</f>
        <v>Dec 26</v>
      </c>
      <c r="AC24" s="78"/>
      <c r="AD24" s="78"/>
      <c r="AE24" s="79"/>
    </row>
    <row r="25" spans="1:31" ht="8.1" customHeight="1" x14ac:dyDescent="0.3">
      <c r="B25" s="64"/>
      <c r="C25" s="19"/>
      <c r="D25" s="19"/>
      <c r="E25" s="19"/>
      <c r="F25" s="20"/>
      <c r="G25" s="19"/>
      <c r="H25" s="25"/>
      <c r="I25" s="19"/>
      <c r="J25" s="19"/>
      <c r="K25" s="19"/>
      <c r="L25" s="50"/>
      <c r="M25" s="21"/>
      <c r="N25" s="19"/>
      <c r="O25" s="33"/>
      <c r="P25" s="73"/>
      <c r="Q25" s="73"/>
      <c r="R25" s="73"/>
      <c r="S25" s="102"/>
      <c r="T25" s="19"/>
      <c r="U25" s="19"/>
      <c r="V25" s="19"/>
      <c r="W25" s="19"/>
      <c r="X25" s="19"/>
      <c r="Y25" s="19"/>
      <c r="Z25" s="50"/>
      <c r="AA25" s="127"/>
      <c r="AB25" s="94"/>
      <c r="AC25" s="22"/>
      <c r="AD25" s="22"/>
      <c r="AE25" s="29"/>
    </row>
    <row r="26" spans="1:31" x14ac:dyDescent="0.3">
      <c r="A26" s="2" t="s">
        <v>16</v>
      </c>
      <c r="B26" s="105" t="str">
        <f>RIGHT(RTD("cqg.rtd",,"ContractData",$A$5&amp;A26,"LongDescription"),6)</f>
        <v>Mar 27</v>
      </c>
      <c r="C26" s="55"/>
      <c r="D26" s="55"/>
      <c r="E26" s="55"/>
      <c r="F26" s="6">
        <f>IF(B26="","",RTD("cqg.rtd",,"ContractData",$A$5&amp;A26,"ExpirationDate",,"D"))</f>
        <v>46553</v>
      </c>
      <c r="G26" s="7">
        <f t="shared" ca="1" si="1"/>
        <v>1477</v>
      </c>
      <c r="H26" s="24"/>
      <c r="I26" s="12"/>
      <c r="J26" s="7">
        <f t="shared" si="7"/>
        <v>1276</v>
      </c>
      <c r="K26" s="47">
        <f>RTD("cqg.rtd", ,"ContractData", $A$5&amp;A26, "T_CVol")</f>
        <v>1276</v>
      </c>
      <c r="L26" s="7">
        <f xml:space="preserve"> RTD("cqg.rtd",,"StudyData", $A$5&amp;A26, "MA", "InputChoice=ContractVol,MAType=Sim,Period="&amp;$L$4&amp;"", "MA",,,"all",,,,"T")</f>
        <v>3264.4</v>
      </c>
      <c r="M26" s="28">
        <f t="shared" si="8"/>
        <v>0</v>
      </c>
      <c r="N26" s="7">
        <f>RTD("cqg.rtd", ,"ContractData", $A$5&amp;A26, "Y_CVol")</f>
        <v>2764</v>
      </c>
      <c r="O26" s="31">
        <f t="shared" si="2"/>
        <v>0.46164978292329956</v>
      </c>
      <c r="P26" s="135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>2558</v>
      </c>
      <c r="Q26" s="136"/>
      <c r="R26" s="137"/>
      <c r="S26" s="101"/>
      <c r="T26" s="7">
        <f t="shared" si="3"/>
        <v>22252</v>
      </c>
      <c r="U26" s="7">
        <f>IF(B26="","",RTD("cqg.rtd", ,"ContractData", $A$5&amp;A26, "COI"))</f>
        <v>22252</v>
      </c>
      <c r="V26" s="7">
        <f t="shared" si="4"/>
        <v>-121</v>
      </c>
      <c r="W26" s="7">
        <f t="shared" si="5"/>
        <v>-121</v>
      </c>
      <c r="X26" s="7">
        <f>IF(B26="","",RTD("cqg.rtd", ,"ContractData", $A$5&amp;A26, "P_OI"))</f>
        <v>22373</v>
      </c>
      <c r="Y26" s="17">
        <f>IFERROR(U26/X26,"")</f>
        <v>0.99459169534707015</v>
      </c>
      <c r="Z26" s="119">
        <f>IF(RTD("cqg.rtd",,"StudyData",$A$5&amp;A26,"Vol","VolType=Exchange,CoCType=Contract","Vol",$Z$4,"0","ALL",,,"TRUE","T")="",0,RTD("cqg.rtd",,"StudyData",$A$5&amp;A26,"Vol","VolType=Exchange,CoCType=Contract","Vol",$Z$4,"0","ALL",,,"TRUE","T"))</f>
        <v>0</v>
      </c>
      <c r="AA26" s="119">
        <f ca="1">IFERROR(IF(B26="","",RTD("cqg.rtd",,"StudyData","Vol("&amp;$A$5&amp;A26&amp;") when (LocalDay("&amp;$A$5&amp;A26&amp;")="&amp;$C$1&amp;" and LocalHour("&amp;$A$5&amp;A26&amp;")="&amp;$E$1&amp;" and LocalMinute("&amp;$A$5&amp;$A26&amp;")="&amp;$F$1&amp;")","Bar",,"Vol",$Z$4,"0")),"")</f>
        <v>21</v>
      </c>
      <c r="AB26" s="125" t="str">
        <f>B26</f>
        <v>Mar 27</v>
      </c>
      <c r="AC26" s="80"/>
      <c r="AD26" s="80"/>
      <c r="AE26" s="81"/>
    </row>
    <row r="27" spans="1:31" x14ac:dyDescent="0.3">
      <c r="A27" s="2" t="s">
        <v>17</v>
      </c>
      <c r="B27" s="105" t="str">
        <f>RIGHT(RTD("cqg.rtd",,"ContractData",$A$5&amp;A27,"LongDescription"),6)</f>
        <v>Jun 27</v>
      </c>
      <c r="C27" s="55"/>
      <c r="D27" s="55"/>
      <c r="E27" s="55"/>
      <c r="F27" s="6">
        <f>IF(B27="","",RTD("cqg.rtd",,"ContractData",$A$5&amp;A27,"ExpirationDate",,"D"))</f>
        <v>46644</v>
      </c>
      <c r="G27" s="7">
        <f t="shared" ca="1" si="1"/>
        <v>1568</v>
      </c>
      <c r="H27" s="24"/>
      <c r="I27" s="12"/>
      <c r="J27" s="7">
        <f t="shared" si="7"/>
        <v>604</v>
      </c>
      <c r="K27" s="47">
        <f>RTD("cqg.rtd", ,"ContractData", $A$5&amp;A27, "T_CVol")</f>
        <v>604</v>
      </c>
      <c r="L27" s="7">
        <f xml:space="preserve"> RTD("cqg.rtd",,"StudyData", $A$5&amp;A27, "MA", "InputChoice=ContractVol,MAType=Sim,Period="&amp;$L$4&amp;"", "MA",,,"all",,,,"T")</f>
        <v>1811.7</v>
      </c>
      <c r="M27" s="28">
        <f t="shared" si="8"/>
        <v>0</v>
      </c>
      <c r="N27" s="7">
        <f>RTD("cqg.rtd", ,"ContractData", $A$5&amp;A27, "Y_CVol")</f>
        <v>1382</v>
      </c>
      <c r="O27" s="31">
        <f t="shared" si="2"/>
        <v>0.43704775687409553</v>
      </c>
      <c r="P27" s="135">
        <f xml:space="preserve"> RTD("cqg.rtd",,"StudyData", "(MA("&amp;$A$5&amp;A27&amp;",Period:="&amp;$Q$5&amp;",MAType:=Sim,InputChoice:=ContractVol) when LocalYear("&amp;$A$5&amp;A27&amp;")="&amp;$R$5&amp;" And (LocalMonth("&amp;$A$5&amp;A27&amp;")="&amp;$P$4&amp;" And LocalDay("&amp;$A$5&amp;A27&amp;")="&amp;$Q$4&amp;" ))", "Bar", "", "Close","D", "0", "all", "", "","False",,)</f>
        <v>1168</v>
      </c>
      <c r="Q27" s="136"/>
      <c r="R27" s="137"/>
      <c r="S27" s="101"/>
      <c r="T27" s="7">
        <f t="shared" si="3"/>
        <v>8205</v>
      </c>
      <c r="U27" s="7">
        <f>IF(B27="","",RTD("cqg.rtd", ,"ContractData", $A$5&amp;A27, "COI"))</f>
        <v>8205</v>
      </c>
      <c r="V27" s="7">
        <f t="shared" si="4"/>
        <v>233</v>
      </c>
      <c r="W27" s="7">
        <f t="shared" si="5"/>
        <v>233</v>
      </c>
      <c r="X27" s="7">
        <f>IF(B27="","",RTD("cqg.rtd", ,"ContractData", $A$5&amp;A27, "P_OI"))</f>
        <v>7972</v>
      </c>
      <c r="Y27" s="17">
        <f>IFERROR(U27/X27,"")</f>
        <v>1.0292272955343702</v>
      </c>
      <c r="Z27" s="119">
        <f>IF(RTD("cqg.rtd",,"StudyData",$A$5&amp;A27,"Vol","VolType=Exchange,CoCType=Contract","Vol",$Z$4,"0","ALL",,,"TRUE","T")="",0,RTD("cqg.rtd",,"StudyData",$A$5&amp;A27,"Vol","VolType=Exchange,CoCType=Contract","Vol",$Z$4,"0","ALL",,,"TRUE","T"))</f>
        <v>0</v>
      </c>
      <c r="AA27" s="119">
        <f ca="1">IFERROR(IF(B27="","",RTD("cqg.rtd",,"StudyData","Vol("&amp;$A$5&amp;A27&amp;") when (LocalDay("&amp;$A$5&amp;A27&amp;")="&amp;$C$1&amp;" and LocalHour("&amp;$A$5&amp;A27&amp;")="&amp;$E$1&amp;" and LocalMinute("&amp;$A$5&amp;$A27&amp;")="&amp;$F$1&amp;")","Bar",,"Vol",$Z$4,"0")),"")</f>
        <v>6</v>
      </c>
      <c r="AB27" s="125" t="str">
        <f>B27</f>
        <v>Jun 27</v>
      </c>
      <c r="AC27" s="80"/>
      <c r="AD27" s="80"/>
      <c r="AE27" s="81"/>
    </row>
    <row r="28" spans="1:31" x14ac:dyDescent="0.3">
      <c r="A28" s="2" t="s">
        <v>18</v>
      </c>
      <c r="B28" s="105" t="str">
        <f>RIGHT(RTD("cqg.rtd",,"ContractData",$A$5&amp;A28,"LongDescription"),6)</f>
        <v>Sep 27</v>
      </c>
      <c r="C28" s="55"/>
      <c r="D28" s="55"/>
      <c r="E28" s="55"/>
      <c r="F28" s="6">
        <f>IF(B28="","",RTD("cqg.rtd",,"ContractData",$A$5&amp;A28,"ExpirationDate",,"D"))</f>
        <v>46735</v>
      </c>
      <c r="G28" s="7">
        <f t="shared" ca="1" si="1"/>
        <v>1659</v>
      </c>
      <c r="H28" s="24"/>
      <c r="I28" s="12"/>
      <c r="J28" s="7">
        <f t="shared" si="7"/>
        <v>357</v>
      </c>
      <c r="K28" s="47">
        <f>RTD("cqg.rtd", ,"ContractData", $A$5&amp;A28, "T_CVol")</f>
        <v>357</v>
      </c>
      <c r="L28" s="7">
        <f xml:space="preserve"> RTD("cqg.rtd",,"StudyData", $A$5&amp;A28, "MA", "InputChoice=ContractVol,MAType=Sim,Period="&amp;$L$4&amp;"", "MA",,,"all",,,,"T")</f>
        <v>949</v>
      </c>
      <c r="M28" s="28">
        <f t="shared" si="8"/>
        <v>0</v>
      </c>
      <c r="N28" s="7">
        <f>RTD("cqg.rtd", ,"ContractData", $A$5&amp;A28, "Y_CVol")</f>
        <v>333</v>
      </c>
      <c r="O28" s="31">
        <f t="shared" si="2"/>
        <v>1.072072072072072</v>
      </c>
      <c r="P28" s="135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>499</v>
      </c>
      <c r="Q28" s="136"/>
      <c r="R28" s="137"/>
      <c r="S28" s="101"/>
      <c r="T28" s="7">
        <f t="shared" si="3"/>
        <v>3710</v>
      </c>
      <c r="U28" s="7">
        <f>IF(B28="","",RTD("cqg.rtd", ,"ContractData", $A$5&amp;A28, "COI"))</f>
        <v>3710</v>
      </c>
      <c r="V28" s="7">
        <f t="shared" si="4"/>
        <v>27</v>
      </c>
      <c r="W28" s="7">
        <f t="shared" si="5"/>
        <v>27</v>
      </c>
      <c r="X28" s="7">
        <f>IF(B28="","",RTD("cqg.rtd", ,"ContractData", $A$5&amp;A28, "P_OI"))</f>
        <v>3683</v>
      </c>
      <c r="Y28" s="17">
        <f>IFERROR(U28/X28,"")</f>
        <v>1.0073309801792016</v>
      </c>
      <c r="Z28" s="119">
        <f>IF(RTD("cqg.rtd",,"StudyData",$A$5&amp;A28,"Vol","VolType=Exchange,CoCType=Contract","Vol",$Z$4,"0","ALL",,,"TRUE","T")="",0,RTD("cqg.rtd",,"StudyData",$A$5&amp;A28,"Vol","VolType=Exchange,CoCType=Contract","Vol",$Z$4,"0","ALL",,,"TRUE","T"))</f>
        <v>0</v>
      </c>
      <c r="AA28" s="119">
        <f ca="1">IFERROR(IF(B28="","",RTD("cqg.rtd",,"StudyData","Vol("&amp;$A$5&amp;A28&amp;") when (LocalDay("&amp;$A$5&amp;A28&amp;")="&amp;$C$1&amp;" and LocalHour("&amp;$A$5&amp;A28&amp;")="&amp;$E$1&amp;" and LocalMinute("&amp;$A$5&amp;$A28&amp;")="&amp;$F$1&amp;")","Bar",,"Vol",$Z$4,"0")),"")</f>
        <v>4</v>
      </c>
      <c r="AB28" s="125" t="str">
        <f>B28</f>
        <v>Sep 27</v>
      </c>
      <c r="AC28" s="80"/>
      <c r="AD28" s="80"/>
      <c r="AE28" s="81"/>
    </row>
    <row r="29" spans="1:31" x14ac:dyDescent="0.3">
      <c r="A29" s="2" t="s">
        <v>19</v>
      </c>
      <c r="B29" s="105" t="str">
        <f>RIGHT(RTD("cqg.rtd",,"ContractData",$A$5&amp;A29,"LongDescription"),6)</f>
        <v>Dec 27</v>
      </c>
      <c r="C29" s="55"/>
      <c r="D29" s="55"/>
      <c r="E29" s="55"/>
      <c r="F29" s="6">
        <f>IF(B29="","",RTD("cqg.rtd",,"ContractData",$A$5&amp;A29,"ExpirationDate",,"D"))</f>
        <v>46826</v>
      </c>
      <c r="G29" s="7">
        <f t="shared" ca="1" si="1"/>
        <v>1750</v>
      </c>
      <c r="H29" s="24"/>
      <c r="I29" s="12"/>
      <c r="J29" s="7">
        <f t="shared" si="7"/>
        <v>40</v>
      </c>
      <c r="K29" s="47">
        <f>RTD("cqg.rtd", ,"ContractData", $A$5&amp;A29, "T_CVol")</f>
        <v>40</v>
      </c>
      <c r="L29" s="7">
        <f xml:space="preserve"> RTD("cqg.rtd",,"StudyData", $A$5&amp;A29, "MA", "InputChoice=ContractVol,MAType=Sim,Period="&amp;$L$4&amp;"", "MA",,,"all",,,,"T")</f>
        <v>511.9</v>
      </c>
      <c r="M29" s="28">
        <f t="shared" si="8"/>
        <v>0</v>
      </c>
      <c r="N29" s="7">
        <f>RTD("cqg.rtd", ,"ContractData", $A$5&amp;A29, "Y_CVol")</f>
        <v>304</v>
      </c>
      <c r="O29" s="31">
        <f t="shared" si="2"/>
        <v>0.13157894736842105</v>
      </c>
      <c r="P29" s="135">
        <f xml:space="preserve"> RTD("cqg.rtd",,"StudyData", "(MA("&amp;$A$5&amp;A29&amp;",Period:="&amp;$Q$5&amp;",MAType:=Sim,InputChoice:=ContractVol) when LocalYear("&amp;$A$5&amp;A29&amp;")="&amp;$R$5&amp;" And (LocalMonth("&amp;$A$5&amp;A29&amp;")="&amp;$P$4&amp;" And LocalDay("&amp;$A$5&amp;A29&amp;")="&amp;$Q$4&amp;" ))", "Bar", "", "Close","D", "0", "all", "", "","False",,)</f>
        <v>496</v>
      </c>
      <c r="Q29" s="136"/>
      <c r="R29" s="137"/>
      <c r="S29" s="101"/>
      <c r="T29" s="7">
        <f t="shared" si="3"/>
        <v>2974</v>
      </c>
      <c r="U29" s="7">
        <f>IF(B29="","",RTD("cqg.rtd", ,"ContractData", $A$5&amp;A29, "COI"))</f>
        <v>2974</v>
      </c>
      <c r="V29" s="7">
        <f t="shared" si="4"/>
        <v>-95</v>
      </c>
      <c r="W29" s="7">
        <f t="shared" si="5"/>
        <v>-95</v>
      </c>
      <c r="X29" s="7">
        <f>IF(B29="","",RTD("cqg.rtd", ,"ContractData", $A$5&amp;A29, "P_OI"))</f>
        <v>3069</v>
      </c>
      <c r="Y29" s="17">
        <f>IFERROR(U29/X29,"")</f>
        <v>0.96904529162593678</v>
      </c>
      <c r="Z29" s="119">
        <f>IF(RTD("cqg.rtd",,"StudyData",$A$5&amp;A29,"Vol","VolType=Exchange,CoCType=Contract","Vol",$Z$4,"0","ALL",,,"TRUE","T")="",0,RTD("cqg.rtd",,"StudyData",$A$5&amp;A29,"Vol","VolType=Exchange,CoCType=Contract","Vol",$Z$4,"0","ALL",,,"TRUE","T"))</f>
        <v>0</v>
      </c>
      <c r="AA29" s="119">
        <f ca="1">IFERROR(IF(B29="","",RTD("cqg.rtd",,"StudyData","Vol("&amp;$A$5&amp;A29&amp;") when (LocalDay("&amp;$A$5&amp;A29&amp;")="&amp;$C$1&amp;" and LocalHour("&amp;$A$5&amp;A29&amp;")="&amp;$E$1&amp;" and LocalMinute("&amp;$A$5&amp;$A29&amp;")="&amp;$F$1&amp;")","Bar",,"Vol",$Z$4,"0")),"")</f>
        <v>4</v>
      </c>
      <c r="AB29" s="125" t="str">
        <f>B29</f>
        <v>Dec 27</v>
      </c>
      <c r="AC29" s="80"/>
      <c r="AD29" s="80"/>
      <c r="AE29" s="81"/>
    </row>
    <row r="30" spans="1:31" ht="8.1" customHeight="1" x14ac:dyDescent="0.3">
      <c r="B30" s="64"/>
      <c r="C30" s="19"/>
      <c r="D30" s="19"/>
      <c r="E30" s="19"/>
      <c r="F30" s="20"/>
      <c r="G30" s="19"/>
      <c r="H30" s="25"/>
      <c r="I30" s="19"/>
      <c r="J30" s="19"/>
      <c r="K30" s="19"/>
      <c r="L30" s="50"/>
      <c r="M30" s="21"/>
      <c r="N30" s="19"/>
      <c r="O30" s="33"/>
      <c r="P30" s="73"/>
      <c r="Q30" s="73"/>
      <c r="R30" s="73"/>
      <c r="S30" s="102"/>
      <c r="T30" s="19"/>
      <c r="U30" s="19"/>
      <c r="V30" s="19"/>
      <c r="W30" s="19"/>
      <c r="X30" s="19"/>
      <c r="Y30" s="19"/>
      <c r="Z30" s="50"/>
      <c r="AA30" s="127"/>
      <c r="AB30" s="94"/>
      <c r="AC30" s="22"/>
      <c r="AD30" s="22"/>
      <c r="AE30" s="29"/>
    </row>
    <row r="31" spans="1:31" x14ac:dyDescent="0.3">
      <c r="A31" s="2" t="s">
        <v>20</v>
      </c>
      <c r="B31" s="106" t="str">
        <f>RIGHT(RTD("cqg.rtd",,"ContractData",$A$5&amp;A31,"LongDescription"),6)</f>
        <v>Mar 28</v>
      </c>
      <c r="C31" s="53"/>
      <c r="D31" s="53"/>
      <c r="E31" s="53"/>
      <c r="F31" s="6">
        <f>IF(B31="","",RTD("cqg.rtd",,"ContractData",$A$5&amp;A31,"ExpirationDate",,"D"))</f>
        <v>46924</v>
      </c>
      <c r="G31" s="7">
        <f t="shared" ca="1" si="1"/>
        <v>1848</v>
      </c>
      <c r="H31" s="24"/>
      <c r="I31" s="12"/>
      <c r="J31" s="7">
        <f t="shared" si="7"/>
        <v>4</v>
      </c>
      <c r="K31" s="47">
        <f>RTD("cqg.rtd", ,"ContractData", $A$5&amp;A31, "T_CVol")</f>
        <v>4</v>
      </c>
      <c r="L31" s="7">
        <f xml:space="preserve"> RTD("cqg.rtd",,"StudyData", $A$5&amp;A31, "MA", "InputChoice=ContractVol,MAType=Sim,Period="&amp;$L$4&amp;"", "MA",,,"all",,,,"T")</f>
        <v>49.9</v>
      </c>
      <c r="M31" s="28">
        <f t="shared" si="8"/>
        <v>0</v>
      </c>
      <c r="N31" s="7">
        <f>RTD("cqg.rtd", ,"ContractData", $A$5&amp;A31, "Y_CVol")</f>
        <v>5</v>
      </c>
      <c r="O31" s="31">
        <f t="shared" si="2"/>
        <v>0.8</v>
      </c>
      <c r="P31" s="135">
        <f xml:space="preserve"> RTD("cqg.rtd",,"StudyData", "(MA("&amp;$A$5&amp;A31&amp;",Period:="&amp;$Q$5&amp;",MAType:=Sim,InputChoice:=ContractVol) when LocalYear("&amp;$A$5&amp;A31&amp;")="&amp;$R$5&amp;" And (LocalMonth("&amp;$A$5&amp;A31&amp;")="&amp;$P$4&amp;" And LocalDay("&amp;$A$5&amp;A31&amp;")="&amp;$Q$4&amp;" ))", "Bar", "", "Close","D", "0", "all", "", "","False",,)</f>
        <v>466</v>
      </c>
      <c r="Q31" s="136"/>
      <c r="R31" s="137"/>
      <c r="S31" s="101"/>
      <c r="T31" s="7">
        <f t="shared" si="3"/>
        <v>490</v>
      </c>
      <c r="U31" s="7">
        <f>IF(B31="","",RTD("cqg.rtd", ,"ContractData", $A$5&amp;A31, "COI"))</f>
        <v>490</v>
      </c>
      <c r="V31" s="7">
        <f t="shared" si="4"/>
        <v>2</v>
      </c>
      <c r="W31" s="7">
        <f t="shared" si="5"/>
        <v>2</v>
      </c>
      <c r="X31" s="7">
        <f>IF(B31="","",RTD("cqg.rtd", ,"ContractData", $A$5&amp;A31, "P_OI"))</f>
        <v>488</v>
      </c>
      <c r="Y31" s="17">
        <f>IFERROR(U31/X31,"")</f>
        <v>1.0040983606557377</v>
      </c>
      <c r="Z31" s="119">
        <f>IF(RTD("cqg.rtd",,"StudyData",$A$5&amp;A31,"Vol","VolType=Exchange,CoCType=Contract","Vol",$Z$4,"0","ALL",,,"TRUE","T")="",0,RTD("cqg.rtd",,"StudyData",$A$5&amp;A31,"Vol","VolType=Exchange,CoCType=Contract","Vol",$Z$4,"0","ALL",,,"TRUE","T"))</f>
        <v>0</v>
      </c>
      <c r="AA31" s="119">
        <f ca="1">IFERROR(IF(B31="","",RTD("cqg.rtd",,"StudyData","Vol("&amp;$A$5&amp;A31&amp;") when (LocalDay("&amp;$A$5&amp;A31&amp;")="&amp;$C$1&amp;" and LocalHour("&amp;$A$5&amp;A31&amp;")="&amp;$E$1&amp;" and LocalMinute("&amp;$A$5&amp;$A31&amp;")="&amp;$F$1&amp;")","Bar",,"Vol",$Z$4,"0")),"")</f>
        <v>0</v>
      </c>
      <c r="AB31" s="126" t="str">
        <f>B31</f>
        <v>Mar 28</v>
      </c>
      <c r="AC31" s="82"/>
      <c r="AD31" s="82"/>
      <c r="AE31" s="83"/>
    </row>
    <row r="32" spans="1:31" x14ac:dyDescent="0.3">
      <c r="A32" s="2" t="s">
        <v>21</v>
      </c>
      <c r="B32" s="106" t="str">
        <f>RIGHT(RTD("cqg.rtd",,"ContractData",$A$5&amp;A32,"LongDescription"),6)</f>
        <v>Jun 28</v>
      </c>
      <c r="C32" s="53"/>
      <c r="D32" s="53"/>
      <c r="E32" s="53"/>
      <c r="F32" s="6">
        <f>IF(B32="","",RTD("cqg.rtd",,"ContractData",$A$5&amp;A32,"ExpirationDate",,"D"))</f>
        <v>47015</v>
      </c>
      <c r="G32" s="7">
        <f t="shared" ca="1" si="1"/>
        <v>1939</v>
      </c>
      <c r="H32" s="24"/>
      <c r="I32" s="12"/>
      <c r="J32" s="7">
        <f t="shared" si="7"/>
        <v>3</v>
      </c>
      <c r="K32" s="47">
        <f>RTD("cqg.rtd", ,"ContractData", $A$5&amp;A32, "T_CVol")</f>
        <v>3</v>
      </c>
      <c r="L32" s="7">
        <f xml:space="preserve"> RTD("cqg.rtd",,"StudyData", $A$5&amp;A32, "MA", "InputChoice=ContractVol,MAType=Sim,Period="&amp;$L$4&amp;"", "MA",,,"all",,,,"T")</f>
        <v>17.5</v>
      </c>
      <c r="M32" s="28">
        <f t="shared" si="8"/>
        <v>0</v>
      </c>
      <c r="N32" s="7">
        <f>RTD("cqg.rtd", ,"ContractData", $A$5&amp;A32, "Y_CVol")</f>
        <v>3</v>
      </c>
      <c r="O32" s="31">
        <f t="shared" si="2"/>
        <v>1</v>
      </c>
      <c r="P32" s="135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>226</v>
      </c>
      <c r="Q32" s="136"/>
      <c r="R32" s="137"/>
      <c r="S32" s="101"/>
      <c r="T32" s="7">
        <f t="shared" si="3"/>
        <v>199</v>
      </c>
      <c r="U32" s="7">
        <f>IF(B32="","",RTD("cqg.rtd", ,"ContractData", $A$5&amp;A32, "COI"))</f>
        <v>199</v>
      </c>
      <c r="V32" s="7">
        <f t="shared" si="4"/>
        <v>0</v>
      </c>
      <c r="W32" s="7">
        <f t="shared" si="5"/>
        <v>0</v>
      </c>
      <c r="X32" s="7">
        <f>IF(B32="","",RTD("cqg.rtd", ,"ContractData", $A$5&amp;A32, "P_OI"))</f>
        <v>199</v>
      </c>
      <c r="Y32" s="17">
        <f>IFERROR(U32/X32,"")</f>
        <v>1</v>
      </c>
      <c r="Z32" s="119">
        <f>IF(RTD("cqg.rtd",,"StudyData",$A$5&amp;A32,"Vol","VolType=Exchange,CoCType=Contract","Vol",$Z$4,"0","ALL",,,"TRUE","T")="",0,RTD("cqg.rtd",,"StudyData",$A$5&amp;A32,"Vol","VolType=Exchange,CoCType=Contract","Vol",$Z$4,"0","ALL",,,"TRUE","T"))</f>
        <v>0</v>
      </c>
      <c r="AA32" s="119">
        <f ca="1">IFERROR(IF(B32="","",RTD("cqg.rtd",,"StudyData","Vol("&amp;$A$5&amp;A32&amp;") when (LocalDay("&amp;$A$5&amp;A32&amp;")="&amp;$C$1&amp;" and LocalHour("&amp;$A$5&amp;A32&amp;")="&amp;$E$1&amp;" and LocalMinute("&amp;$A$5&amp;$A32&amp;")="&amp;$F$1&amp;")","Bar",,"Vol",$Z$4,"0")),"")</f>
        <v>0</v>
      </c>
      <c r="AB32" s="126" t="str">
        <f>B32</f>
        <v>Jun 28</v>
      </c>
      <c r="AC32" s="82"/>
      <c r="AD32" s="82"/>
      <c r="AE32" s="83"/>
    </row>
    <row r="33" spans="1:31" x14ac:dyDescent="0.3">
      <c r="A33" s="2" t="s">
        <v>22</v>
      </c>
      <c r="B33" s="106" t="str">
        <f>RIGHT(RTD("cqg.rtd",,"ContractData",$A$5&amp;A33,"LongDescription"),6)</f>
        <v>Sep 28</v>
      </c>
      <c r="C33" s="53"/>
      <c r="D33" s="53"/>
      <c r="E33" s="53"/>
      <c r="F33" s="6">
        <f>IF(B33="","",RTD("cqg.rtd",,"ContractData",$A$5&amp;A33,"ExpirationDate",,"D"))</f>
        <v>47106</v>
      </c>
      <c r="G33" s="7">
        <f t="shared" ca="1" si="1"/>
        <v>2030</v>
      </c>
      <c r="H33" s="24"/>
      <c r="I33" s="12"/>
      <c r="J33" s="7">
        <f t="shared" si="7"/>
        <v>1</v>
      </c>
      <c r="K33" s="47">
        <f>RTD("cqg.rtd", ,"ContractData", $A$5&amp;A33, "T_CVol")</f>
        <v>1</v>
      </c>
      <c r="L33" s="7">
        <f xml:space="preserve"> RTD("cqg.rtd",,"StudyData", $A$5&amp;A33, "MA", "InputChoice=ContractVol,MAType=Sim,Period="&amp;$L$4&amp;"", "MA",,,"all",,,,"T")</f>
        <v>6.5</v>
      </c>
      <c r="M33" s="28">
        <f t="shared" si="8"/>
        <v>0</v>
      </c>
      <c r="N33" s="7">
        <f>RTD("cqg.rtd", ,"ContractData", $A$5&amp;A33, "Y_CVol")</f>
        <v>3</v>
      </c>
      <c r="O33" s="31">
        <f t="shared" si="2"/>
        <v>0.33333333333333331</v>
      </c>
      <c r="P33" s="135">
        <f xml:space="preserve"> RTD("cqg.rtd",,"StudyData", "(MA("&amp;$A$5&amp;A33&amp;",Period:="&amp;$Q$5&amp;",MAType:=Sim,InputChoice:=ContractVol) when LocalYear("&amp;$A$5&amp;A33&amp;")="&amp;$R$5&amp;" And (LocalMonth("&amp;$A$5&amp;A33&amp;")="&amp;$P$4&amp;" And LocalDay("&amp;$A$5&amp;A33&amp;")="&amp;$Q$4&amp;" ))", "Bar", "", "Close","D", "0", "all", "", "","False",,)</f>
        <v>43</v>
      </c>
      <c r="Q33" s="136"/>
      <c r="R33" s="137"/>
      <c r="S33" s="101"/>
      <c r="T33" s="7">
        <f t="shared" si="3"/>
        <v>75</v>
      </c>
      <c r="U33" s="7">
        <f>IF(B33="","",RTD("cqg.rtd", ,"ContractData", $A$5&amp;A33, "COI"))</f>
        <v>75</v>
      </c>
      <c r="V33" s="7">
        <f t="shared" si="4"/>
        <v>0</v>
      </c>
      <c r="W33" s="7">
        <f t="shared" si="5"/>
        <v>0</v>
      </c>
      <c r="X33" s="7">
        <f>IF(B33="","",RTD("cqg.rtd", ,"ContractData", $A$5&amp;A33, "P_OI"))</f>
        <v>75</v>
      </c>
      <c r="Y33" s="17">
        <f>IFERROR(U33/X33,"")</f>
        <v>1</v>
      </c>
      <c r="Z33" s="119">
        <f>IF(RTD("cqg.rtd",,"StudyData",$A$5&amp;A33,"Vol","VolType=Exchange,CoCType=Contract","Vol",$Z$4,"0","ALL",,,"TRUE","T")="",0,RTD("cqg.rtd",,"StudyData",$A$5&amp;A33,"Vol","VolType=Exchange,CoCType=Contract","Vol",$Z$4,"0","ALL",,,"TRUE","T"))</f>
        <v>0</v>
      </c>
      <c r="AA33" s="119">
        <f ca="1">IFERROR(IF(B33="","",RTD("cqg.rtd",,"StudyData","Vol("&amp;$A$5&amp;A33&amp;") when (LocalDay("&amp;$A$5&amp;A33&amp;")="&amp;$C$1&amp;" and LocalHour("&amp;$A$5&amp;A33&amp;")="&amp;$E$1&amp;" and LocalMinute("&amp;$A$5&amp;$A33&amp;")="&amp;$F$1&amp;")","Bar",,"Vol",$Z$4,"0")),"")</f>
        <v>0</v>
      </c>
      <c r="AB33" s="126" t="str">
        <f>B33</f>
        <v>Sep 28</v>
      </c>
      <c r="AC33" s="82"/>
      <c r="AD33" s="82"/>
      <c r="AE33" s="83"/>
    </row>
    <row r="34" spans="1:31" x14ac:dyDescent="0.3">
      <c r="A34" s="107" t="s">
        <v>23</v>
      </c>
      <c r="B34" s="106" t="str">
        <f>RIGHT(RTD("cqg.rtd",,"ContractData",$A$5&amp;A34,"LongDescription"),6)</f>
        <v>Dec 28</v>
      </c>
      <c r="C34" s="53"/>
      <c r="D34" s="53"/>
      <c r="E34" s="53"/>
      <c r="F34" s="6">
        <f>IF(B34="","",RTD("cqg.rtd",,"ContractData",$A$5&amp;A34,"ExpirationDate",,"D"))</f>
        <v>47197</v>
      </c>
      <c r="G34" s="7">
        <f t="shared" ca="1" si="1"/>
        <v>2121</v>
      </c>
      <c r="H34" s="24"/>
      <c r="I34" s="12"/>
      <c r="J34" s="7">
        <f t="shared" si="7"/>
        <v>2</v>
      </c>
      <c r="K34" s="47">
        <f>RTD("cqg.rtd", ,"ContractData", $A$5&amp;A34, "T_CVol")</f>
        <v>2</v>
      </c>
      <c r="L34" s="7">
        <f xml:space="preserve"> RTD("cqg.rtd",,"StudyData", $A$5&amp;A34, "MA", "InputChoice=ContractVol,MAType=Sim,Period="&amp;$L$4&amp;"", "MA",,,"all",,,,"T")</f>
        <v>3.8</v>
      </c>
      <c r="M34" s="28">
        <f t="shared" si="8"/>
        <v>0</v>
      </c>
      <c r="N34" s="7">
        <f>RTD("cqg.rtd", ,"ContractData", $A$5&amp;A34, "Y_CVol")</f>
        <v>0</v>
      </c>
      <c r="O34" s="31" t="str">
        <f t="shared" si="2"/>
        <v/>
      </c>
      <c r="P34" s="135">
        <f xml:space="preserve"> RTD("cqg.rtd",,"StudyData", "(MA("&amp;$A$5&amp;A34&amp;",Period:="&amp;$Q$5&amp;",MAType:=Sim,InputChoice:=ContractVol) when LocalYear("&amp;$A$5&amp;A34&amp;")="&amp;$R$5&amp;" And (LocalMonth("&amp;$A$5&amp;A34&amp;")="&amp;$P$4&amp;" And LocalDay("&amp;$A$5&amp;A34&amp;")="&amp;$Q$4&amp;" ))", "Bar", "", "Close","D", "0", "all", "", "","False",,)</f>
        <v>29</v>
      </c>
      <c r="Q34" s="136"/>
      <c r="R34" s="137"/>
      <c r="S34" s="101"/>
      <c r="T34" s="7">
        <f t="shared" si="3"/>
        <v>22</v>
      </c>
      <c r="U34" s="7">
        <f>IF(B34="","",RTD("cqg.rtd", ,"ContractData", $A$5&amp;A34, "COI"))</f>
        <v>22</v>
      </c>
      <c r="V34" s="7">
        <f t="shared" si="4"/>
        <v>0</v>
      </c>
      <c r="W34" s="7">
        <f t="shared" si="5"/>
        <v>0</v>
      </c>
      <c r="X34" s="7">
        <f>IF(B34="","",RTD("cqg.rtd", ,"ContractData", $A$5&amp;A34, "P_OI"))</f>
        <v>22</v>
      </c>
      <c r="Y34" s="17">
        <f>IFERROR(U34/X34,"")</f>
        <v>1</v>
      </c>
      <c r="Z34" s="119">
        <f>IF(RTD("cqg.rtd",,"StudyData",$A$5&amp;A34,"Vol","VolType=Exchange,CoCType=Contract","Vol",$Z$4,"0","ALL",,,"TRUE","T")="",0,RTD("cqg.rtd",,"StudyData",$A$5&amp;A34,"Vol","VolType=Exchange,CoCType=Contract","Vol",$Z$4,"0","ALL",,,"TRUE","T"))</f>
        <v>0</v>
      </c>
      <c r="AA34" s="119">
        <f ca="1">IFERROR(IF(B34="","",RTD("cqg.rtd",,"StudyData","Vol("&amp;$A$5&amp;A34&amp;") when (LocalDay("&amp;$A$5&amp;A34&amp;")="&amp;$C$1&amp;" and LocalHour("&amp;$A$5&amp;A34&amp;")="&amp;$E$1&amp;" and LocalMinute("&amp;$A$5&amp;$A34&amp;")="&amp;$F$1&amp;")","Bar",,"Vol",$Z$4,"0")),"")</f>
        <v>0</v>
      </c>
      <c r="AB34" s="126" t="str">
        <f>B34</f>
        <v>Dec 28</v>
      </c>
      <c r="AC34" s="82"/>
      <c r="AD34" s="82"/>
      <c r="AE34" s="83"/>
    </row>
    <row r="35" spans="1:31" x14ac:dyDescent="0.3">
      <c r="A35" s="118" t="s">
        <v>47</v>
      </c>
      <c r="B35" s="106" t="str">
        <f>IF(RIGHT(RTD("cqg.rtd",,"ContractData",$A$5&amp;A35,"LongDescription"),6)="d: SO3","",RIGHT(RTD("cqg.rtd",,"ContractData",$A$5&amp;A35,"LongDescription"),6))</f>
        <v>Mar 29</v>
      </c>
      <c r="C35" s="109"/>
      <c r="D35" s="109"/>
      <c r="E35" s="109"/>
      <c r="F35" s="110">
        <f>IF(B35="","",RTD("cqg.rtd",,"ContractData",$A$5&amp;A35,"ExpirationDate",,"D"))</f>
        <v>47288</v>
      </c>
      <c r="G35" s="7">
        <f ca="1">IF(B35="","",F35-$A$1)</f>
        <v>2212</v>
      </c>
      <c r="H35" s="120"/>
      <c r="I35" s="112"/>
      <c r="J35" s="7">
        <f>IF(B35="","",K35)</f>
        <v>2</v>
      </c>
      <c r="K35" s="47">
        <f>IF(B35="","",RTD("cqg.rtd", ,"ContractData", $A$5&amp;A35, "T_CVol"))</f>
        <v>2</v>
      </c>
      <c r="L35" s="7" t="str">
        <f>IF(B35="","",RTD("cqg.rtd",,"StudyData", $A$5&amp;A35, "MA", "InputChoice=ContractVol,MAType=Sim,Period="&amp;$L$4&amp;"", "MA",,,"all",,,,"T"))</f>
        <v/>
      </c>
      <c r="M35" s="113">
        <f t="shared" si="8"/>
        <v>0</v>
      </c>
      <c r="N35" s="111">
        <f>IF(B35="","",RTD("cqg.rtd", ,"ContractData", $A$5&amp;A35, "Y_CVol"))</f>
        <v>0</v>
      </c>
      <c r="O35" s="114" t="str">
        <f>IF(B35="","",IF(ISERROR(K35/N35),"",K35/N35))</f>
        <v/>
      </c>
      <c r="P35" s="135" t="str">
        <f>IF(B35="","",RTD("cqg.rtd",,"StudyData",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"","False",,))</f>
        <v/>
      </c>
      <c r="Q35" s="136"/>
      <c r="R35" s="137"/>
      <c r="S35" s="117"/>
      <c r="T35" s="7">
        <f t="shared" si="3"/>
        <v>0</v>
      </c>
      <c r="U35" s="7">
        <f>IF(B35="","",RTD("cqg.rtd", ,"ContractData", $A$5&amp;A35, "COI"))</f>
        <v>0</v>
      </c>
      <c r="V35" s="7">
        <f>IFERROR(U35-X35,"")</f>
        <v>0</v>
      </c>
      <c r="W35" s="7">
        <f t="shared" si="5"/>
        <v>0</v>
      </c>
      <c r="X35" s="7">
        <f>IF(B35="","",RTD("cqg.rtd", ,"ContractData", $A$5&amp;A35, "P_OI"))</f>
        <v>0</v>
      </c>
      <c r="Y35" s="17" t="str">
        <f>IFERROR(U35/X35,"")</f>
        <v/>
      </c>
      <c r="Z35" s="119">
        <f>IF(B35="","",IF(RTD("cqg.rtd",,"StudyData",$A$5&amp;A35,"Vol","VolType=Exchange,CoCType=Contract","Vol",$Z$4,"0","ALL",,,"TRUE","T")="",0,RTD("cqg.rtd",,"StudyData",$A$5&amp;A35,"Vol","VolType=Exchange,CoCType=Contract","Vol",$Z$4,"0","ALL",,,"TRUE","T")))</f>
        <v>0</v>
      </c>
      <c r="AA35" s="119">
        <f ca="1">IFERROR(IF(B35="","",RTD("cqg.rtd",,"StudyData","Vol("&amp;$A$5&amp;A35&amp;") when (LocalDay("&amp;$A$5&amp;A35&amp;")="&amp;$C$1&amp;" and LocalHour("&amp;$A$5&amp;A35&amp;")="&amp;$E$1&amp;" and LocalMinute("&amp;$A$5&amp;$A35&amp;")="&amp;$F$1&amp;")","Bar",,"Vol",$Z$4,"0")),"")</f>
        <v>0</v>
      </c>
      <c r="AB35" s="108"/>
      <c r="AC35" s="115"/>
      <c r="AD35" s="115"/>
      <c r="AE35" s="116"/>
    </row>
    <row r="36" spans="1:31" ht="8.1" customHeight="1" x14ac:dyDescent="0.3">
      <c r="B36" s="64"/>
      <c r="C36" s="19"/>
      <c r="D36" s="19"/>
      <c r="E36" s="19"/>
      <c r="F36" s="20"/>
      <c r="G36" s="19"/>
      <c r="H36" s="25"/>
      <c r="I36" s="19"/>
      <c r="J36" s="19"/>
      <c r="K36" s="19"/>
      <c r="L36" s="50"/>
      <c r="M36" s="21"/>
      <c r="N36" s="19"/>
      <c r="O36" s="33"/>
      <c r="P36" s="73"/>
      <c r="Q36" s="73"/>
      <c r="R36" s="73"/>
      <c r="S36" s="73"/>
      <c r="T36" s="19"/>
      <c r="U36" s="19"/>
      <c r="V36" s="19"/>
      <c r="W36" s="19"/>
      <c r="X36" s="19"/>
      <c r="Y36" s="19"/>
      <c r="Z36" s="19"/>
      <c r="AA36" s="21"/>
      <c r="AB36" s="94"/>
      <c r="AC36" s="22"/>
      <c r="AD36" s="22"/>
      <c r="AE36" s="29"/>
    </row>
    <row r="37" spans="1:31" x14ac:dyDescent="0.3">
      <c r="B37" s="164" t="s">
        <v>46</v>
      </c>
      <c r="C37" s="165"/>
      <c r="D37" s="165"/>
      <c r="E37" s="165"/>
      <c r="F37" s="165"/>
      <c r="G37" s="165"/>
      <c r="H37" s="165"/>
      <c r="I37" s="165"/>
      <c r="J37" s="165"/>
      <c r="K37" s="26"/>
      <c r="L37" s="26" t="s">
        <v>37</v>
      </c>
      <c r="M37" s="61"/>
      <c r="N37" s="129">
        <f>RTD("cqg.rtd", ,"SystemInfo", "Linetime")</f>
        <v>45076.312696759262</v>
      </c>
      <c r="O37" s="130"/>
      <c r="P37" s="99"/>
      <c r="Q37" s="99"/>
      <c r="R37" s="163" t="s">
        <v>38</v>
      </c>
      <c r="S37" s="163"/>
      <c r="T37" s="163"/>
      <c r="U37" s="129">
        <f>RTD("cqg.rtd", ,"SystemInfo", "Linetime")+1/24</f>
        <v>45076.354363425926</v>
      </c>
      <c r="V37" s="129"/>
      <c r="W37" s="146" t="s">
        <v>39</v>
      </c>
      <c r="X37" s="146"/>
      <c r="Y37" s="129">
        <f>RTD("cqg.rtd", ,"SystemInfo", "Linetime")+6/24</f>
        <v>45076.562696759262</v>
      </c>
      <c r="Z37" s="129"/>
      <c r="AA37" s="145"/>
      <c r="AB37" s="145"/>
      <c r="AC37" s="84"/>
      <c r="AD37" s="84"/>
      <c r="AE37" s="85"/>
    </row>
    <row r="38" spans="1:31" x14ac:dyDescent="0.3">
      <c r="AC38" s="84"/>
      <c r="AD38" s="84"/>
      <c r="AE38" s="85"/>
    </row>
    <row r="39" spans="1:31" x14ac:dyDescent="0.3">
      <c r="C39" s="176">
        <f>DAY(TRUNC( RTD("cqg.rtd",,"StudyData","SO3", "Bar", "", "Time","D","-1",,,,,"T")))</f>
        <v>26</v>
      </c>
      <c r="AC39" s="84"/>
      <c r="AD39" s="84"/>
      <c r="AE39" s="85"/>
    </row>
    <row r="40" spans="1:31" x14ac:dyDescent="0.3">
      <c r="AC40" s="84"/>
      <c r="AD40" s="84"/>
      <c r="AE40" s="85"/>
    </row>
    <row r="41" spans="1:31" ht="8.1" customHeight="1" x14ac:dyDescent="0.3">
      <c r="AC41" s="22"/>
      <c r="AD41" s="22"/>
      <c r="AE41" s="29"/>
    </row>
    <row r="42" spans="1:31" x14ac:dyDescent="0.3">
      <c r="AC42" s="86"/>
      <c r="AD42" s="86"/>
      <c r="AE42" s="87"/>
    </row>
    <row r="43" spans="1:31" x14ac:dyDescent="0.3">
      <c r="AC43" s="86"/>
      <c r="AD43" s="86"/>
      <c r="AE43" s="87"/>
    </row>
    <row r="44" spans="1:31" x14ac:dyDescent="0.3">
      <c r="AC44" s="86"/>
      <c r="AD44" s="86"/>
      <c r="AE44" s="87"/>
    </row>
    <row r="45" spans="1:31" x14ac:dyDescent="0.3">
      <c r="AC45" s="86"/>
      <c r="AD45" s="86"/>
      <c r="AE45" s="87"/>
    </row>
    <row r="46" spans="1:31" ht="8.1" customHeight="1" x14ac:dyDescent="0.3">
      <c r="R46" s="10"/>
      <c r="S46" s="10"/>
      <c r="AC46" s="22"/>
      <c r="AD46" s="22"/>
      <c r="AE46" s="29"/>
    </row>
    <row r="47" spans="1:31" x14ac:dyDescent="0.3">
      <c r="R47" s="10"/>
      <c r="S47" s="10"/>
      <c r="AC47" s="88"/>
      <c r="AD47" s="88"/>
      <c r="AE47" s="89"/>
    </row>
    <row r="48" spans="1:31" x14ac:dyDescent="0.3">
      <c r="R48" s="10"/>
      <c r="S48" s="10"/>
      <c r="AC48" s="88"/>
      <c r="AD48" s="88"/>
      <c r="AE48" s="89"/>
    </row>
    <row r="49" spans="18:31" x14ac:dyDescent="0.3">
      <c r="R49" s="10"/>
      <c r="S49" s="10"/>
      <c r="AC49" s="88"/>
      <c r="AD49" s="88"/>
      <c r="AE49" s="89"/>
    </row>
    <row r="50" spans="18:31" x14ac:dyDescent="0.3">
      <c r="R50" s="10"/>
      <c r="S50" s="10"/>
      <c r="AC50" s="88"/>
      <c r="AD50" s="88"/>
      <c r="AE50" s="89"/>
    </row>
    <row r="51" spans="18:31" ht="8.1" customHeight="1" x14ac:dyDescent="0.3">
      <c r="AC51" s="22"/>
      <c r="AD51" s="22"/>
      <c r="AE51" s="29"/>
    </row>
    <row r="52" spans="18:31" x14ac:dyDescent="0.3">
      <c r="AC52" s="90"/>
      <c r="AD52" s="90"/>
      <c r="AE52" s="91"/>
    </row>
    <row r="53" spans="18:31" x14ac:dyDescent="0.3">
      <c r="AC53" s="90"/>
      <c r="AD53" s="90"/>
      <c r="AE53" s="91"/>
    </row>
    <row r="54" spans="18:31" x14ac:dyDescent="0.3">
      <c r="AC54" s="90"/>
      <c r="AD54" s="90"/>
      <c r="AE54" s="91"/>
    </row>
    <row r="55" spans="18:31" x14ac:dyDescent="0.3">
      <c r="AC55" s="90"/>
      <c r="AD55" s="90"/>
      <c r="AE55" s="91"/>
    </row>
    <row r="56" spans="18:31" ht="8.1" customHeight="1" x14ac:dyDescent="0.3">
      <c r="AC56" s="22"/>
      <c r="AD56" s="22"/>
      <c r="AE56" s="29"/>
    </row>
    <row r="57" spans="18:31" x14ac:dyDescent="0.3">
      <c r="AC57" s="92"/>
      <c r="AD57" s="92"/>
      <c r="AE57" s="93"/>
    </row>
    <row r="58" spans="18:31" x14ac:dyDescent="0.3">
      <c r="AC58" s="92"/>
      <c r="AD58" s="92"/>
      <c r="AE58" s="93"/>
    </row>
    <row r="59" spans="18:31" x14ac:dyDescent="0.3">
      <c r="AC59" s="92"/>
      <c r="AD59" s="92"/>
      <c r="AE59" s="93"/>
    </row>
    <row r="60" spans="18:31" x14ac:dyDescent="0.3">
      <c r="AC60" s="92"/>
      <c r="AD60" s="92"/>
      <c r="AE60" s="93"/>
    </row>
    <row r="61" spans="18:31" x14ac:dyDescent="0.3">
      <c r="AC61" s="144">
        <f>RTD("cqg.rtd", ,"SystemInfo", "Linetime")+14/24</f>
        <v>45076.896030092597</v>
      </c>
      <c r="AD61" s="144"/>
      <c r="AE61" s="45"/>
    </row>
    <row r="71" ht="17.25" customHeight="1" x14ac:dyDescent="0.3"/>
    <row r="72" ht="17.25" customHeight="1" x14ac:dyDescent="0.3"/>
  </sheetData>
  <sheetProtection algorithmName="SHA-512" hashValue="Jaj6UtOT179KrBkzIl50ATD19iMGsb1ZM8D6ZP6emlMDizcqWpxfbRjvGRfn6rMpU5VjHjuoAYvaOgRUPOzotg==" saltValue="u8izXTRJi5u26+EdWUoQ7g==" spinCount="100000" sheet="1" objects="1" scenarios="1" selectLockedCells="1"/>
  <mergeCells count="48">
    <mergeCell ref="B4:E5"/>
    <mergeCell ref="B2:D3"/>
    <mergeCell ref="E2:F3"/>
    <mergeCell ref="R37:T37"/>
    <mergeCell ref="B37:J37"/>
    <mergeCell ref="P12:R12"/>
    <mergeCell ref="P13:R13"/>
    <mergeCell ref="P14:R14"/>
    <mergeCell ref="P16:R16"/>
    <mergeCell ref="J4:K4"/>
    <mergeCell ref="G2:I3"/>
    <mergeCell ref="P26:R26"/>
    <mergeCell ref="P27:R27"/>
    <mergeCell ref="N4:O5"/>
    <mergeCell ref="P19:R19"/>
    <mergeCell ref="P21:R21"/>
    <mergeCell ref="AB4:AE5"/>
    <mergeCell ref="Z5:AA5"/>
    <mergeCell ref="V4:W5"/>
    <mergeCell ref="X4:Y5"/>
    <mergeCell ref="U37:V37"/>
    <mergeCell ref="T4:U5"/>
    <mergeCell ref="AC61:AD61"/>
    <mergeCell ref="AA37:AB37"/>
    <mergeCell ref="Y37:Z37"/>
    <mergeCell ref="W37:X37"/>
    <mergeCell ref="P35:R35"/>
    <mergeCell ref="P8:R8"/>
    <mergeCell ref="P9:R9"/>
    <mergeCell ref="P11:R11"/>
    <mergeCell ref="P17:R17"/>
    <mergeCell ref="P18:R18"/>
    <mergeCell ref="N37:O37"/>
    <mergeCell ref="Y2:Z3"/>
    <mergeCell ref="AA2:AB3"/>
    <mergeCell ref="P28:R28"/>
    <mergeCell ref="P29:R29"/>
    <mergeCell ref="P31:R31"/>
    <mergeCell ref="P32:R32"/>
    <mergeCell ref="P33:R33"/>
    <mergeCell ref="P34:R34"/>
    <mergeCell ref="J2:X3"/>
    <mergeCell ref="P22:R22"/>
    <mergeCell ref="P23:R23"/>
    <mergeCell ref="P24:R24"/>
    <mergeCell ref="J5:K5"/>
    <mergeCell ref="P6:R6"/>
    <mergeCell ref="P7:R7"/>
  </mergeCells>
  <conditionalFormatting sqref="K6">
    <cfRule type="expression" dxfId="88" priority="272">
      <formula>M6=1</formula>
    </cfRule>
  </conditionalFormatting>
  <conditionalFormatting sqref="K7">
    <cfRule type="expression" dxfId="87" priority="271">
      <formula>M7=1</formula>
    </cfRule>
  </conditionalFormatting>
  <conditionalFormatting sqref="B6:E6">
    <cfRule type="expression" dxfId="86" priority="265">
      <formula>H6=1</formula>
    </cfRule>
  </conditionalFormatting>
  <conditionalFormatting sqref="B7:E7">
    <cfRule type="expression" dxfId="85" priority="259">
      <formula>H7=1</formula>
    </cfRule>
  </conditionalFormatting>
  <conditionalFormatting sqref="B8:E8">
    <cfRule type="expression" dxfId="84" priority="257">
      <formula>H8=1</formula>
    </cfRule>
  </conditionalFormatting>
  <conditionalFormatting sqref="B9:E9">
    <cfRule type="expression" dxfId="83" priority="255">
      <formula>H9=1</formula>
    </cfRule>
  </conditionalFormatting>
  <conditionalFormatting sqref="B11:E11">
    <cfRule type="expression" dxfId="82" priority="253">
      <formula>H11=1</formula>
    </cfRule>
  </conditionalFormatting>
  <conditionalFormatting sqref="B12:E12">
    <cfRule type="expression" dxfId="81" priority="251">
      <formula>H12=1</formula>
    </cfRule>
  </conditionalFormatting>
  <conditionalFormatting sqref="B13:E13">
    <cfRule type="expression" dxfId="80" priority="249">
      <formula>H13=1</formula>
    </cfRule>
  </conditionalFormatting>
  <conditionalFormatting sqref="B14:E14">
    <cfRule type="expression" dxfId="79" priority="247">
      <formula>H14=1</formula>
    </cfRule>
  </conditionalFormatting>
  <conditionalFormatting sqref="K20">
    <cfRule type="expression" dxfId="78" priority="238">
      <formula>M20=1</formula>
    </cfRule>
  </conditionalFormatting>
  <conditionalFormatting sqref="K25">
    <cfRule type="expression" dxfId="77" priority="230">
      <formula>M25=1</formula>
    </cfRule>
  </conditionalFormatting>
  <conditionalFormatting sqref="K30">
    <cfRule type="expression" dxfId="76" priority="226">
      <formula>M30=1</formula>
    </cfRule>
  </conditionalFormatting>
  <conditionalFormatting sqref="K36">
    <cfRule type="expression" dxfId="75" priority="222">
      <formula>M36=1</formula>
    </cfRule>
  </conditionalFormatting>
  <conditionalFormatting sqref="Z6">
    <cfRule type="expression" dxfId="74" priority="202">
      <formula>Z6&gt;AA6</formula>
    </cfRule>
  </conditionalFormatting>
  <conditionalFormatting sqref="AB16:AC19">
    <cfRule type="expression" dxfId="73" priority="289">
      <formula>#REF!&lt;9</formula>
    </cfRule>
  </conditionalFormatting>
  <conditionalFormatting sqref="AD16:AE19">
    <cfRule type="expression" dxfId="72" priority="290">
      <formula>AF16&lt;9</formula>
    </cfRule>
  </conditionalFormatting>
  <conditionalFormatting sqref="Y15">
    <cfRule type="expression" dxfId="71" priority="142">
      <formula>AA15=1</formula>
    </cfRule>
  </conditionalFormatting>
  <conditionalFormatting sqref="AD15">
    <cfRule type="colorScale" priority="141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20">
    <cfRule type="expression" dxfId="70" priority="140">
      <formula>AA20=1</formula>
    </cfRule>
  </conditionalFormatting>
  <conditionalFormatting sqref="AD20">
    <cfRule type="colorScale" priority="139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25">
    <cfRule type="expression" dxfId="69" priority="138">
      <formula>AA25=1</formula>
    </cfRule>
  </conditionalFormatting>
  <conditionalFormatting sqref="AD25">
    <cfRule type="colorScale" priority="137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30">
    <cfRule type="expression" dxfId="68" priority="136">
      <formula>AA30=1</formula>
    </cfRule>
  </conditionalFormatting>
  <conditionalFormatting sqref="AD30">
    <cfRule type="colorScale" priority="135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36">
    <cfRule type="expression" dxfId="67" priority="134">
      <formula>AA36=1</formula>
    </cfRule>
  </conditionalFormatting>
  <conditionalFormatting sqref="AD36">
    <cfRule type="colorScale" priority="133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41">
    <cfRule type="colorScale" priority="131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46">
    <cfRule type="colorScale" priority="129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51">
    <cfRule type="colorScale" priority="127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56">
    <cfRule type="colorScale" priority="125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B6:AE6">
    <cfRule type="expression" dxfId="66" priority="123">
      <formula>H6=1</formula>
    </cfRule>
  </conditionalFormatting>
  <conditionalFormatting sqref="AB7:AE7">
    <cfRule type="expression" dxfId="65" priority="122">
      <formula>H7=1</formula>
    </cfRule>
  </conditionalFormatting>
  <conditionalFormatting sqref="AB8:AE8">
    <cfRule type="expression" dxfId="64" priority="121">
      <formula>H8=1</formula>
    </cfRule>
  </conditionalFormatting>
  <conditionalFormatting sqref="AB9:AE9">
    <cfRule type="expression" dxfId="63" priority="120">
      <formula>H9=1</formula>
    </cfRule>
  </conditionalFormatting>
  <conditionalFormatting sqref="AB11:AE11">
    <cfRule type="expression" dxfId="62" priority="119">
      <formula>H11=1</formula>
    </cfRule>
  </conditionalFormatting>
  <conditionalFormatting sqref="AB12:AE12">
    <cfRule type="expression" dxfId="61" priority="118">
      <formula>H12=1</formula>
    </cfRule>
  </conditionalFormatting>
  <conditionalFormatting sqref="AB13:AE13">
    <cfRule type="expression" dxfId="60" priority="117">
      <formula>H13=1</formula>
    </cfRule>
  </conditionalFormatting>
  <conditionalFormatting sqref="AB14:AE14">
    <cfRule type="expression" dxfId="59" priority="116">
      <formula>H14=1</formula>
    </cfRule>
  </conditionalFormatting>
  <conditionalFormatting sqref="J6:J9 J11:J14">
    <cfRule type="dataBar" priority="1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{0BC2BA55-4E44-4B7A-8278-9CC76E7F8215}</x14:id>
        </ext>
      </extLst>
    </cfRule>
  </conditionalFormatting>
  <conditionalFormatting sqref="J16:J19">
    <cfRule type="dataBar" priority="1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{9BA3521C-FE9C-4C58-9723-99397651BF47}</x14:id>
        </ext>
      </extLst>
    </cfRule>
  </conditionalFormatting>
  <conditionalFormatting sqref="J21:J24">
    <cfRule type="dataBar" priority="1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{6502A438-A962-4CAE-B9FF-BCC7DF1618F0}</x14:id>
        </ext>
      </extLst>
    </cfRule>
  </conditionalFormatting>
  <conditionalFormatting sqref="J26:J29">
    <cfRule type="dataBar" priority="1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{46E51547-F31D-4548-822C-C9098EBB22E4}</x14:id>
        </ext>
      </extLst>
    </cfRule>
  </conditionalFormatting>
  <conditionalFormatting sqref="J31:J35">
    <cfRule type="dataBar" priority="1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{71048BE3-BB9E-4AF2-B3F5-48BE875E30AC}</x14:id>
        </ext>
      </extLst>
    </cfRule>
  </conditionalFormatting>
  <conditionalFormatting sqref="T6:T9 T11:T14">
    <cfRule type="dataBar" priority="10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{6D1DE649-F211-4BB3-B03F-6205335DAF84}</x14:id>
        </ext>
      </extLst>
    </cfRule>
  </conditionalFormatting>
  <conditionalFormatting sqref="T16:T19">
    <cfRule type="dataBar" priority="1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{F2C3E2B3-BA04-4951-A455-FC88ADF32BC2}</x14:id>
        </ext>
      </extLst>
    </cfRule>
  </conditionalFormatting>
  <conditionalFormatting sqref="T21:T24">
    <cfRule type="dataBar" priority="10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{AC57CE18-FFFE-4CA3-B632-C64CC8426D8F}</x14:id>
        </ext>
      </extLst>
    </cfRule>
  </conditionalFormatting>
  <conditionalFormatting sqref="T26:T29">
    <cfRule type="dataBar" priority="1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{33B15664-0ABB-4FAB-85CB-9F9373636587}</x14:id>
        </ext>
      </extLst>
    </cfRule>
  </conditionalFormatting>
  <conditionalFormatting sqref="T31:T35">
    <cfRule type="dataBar" priority="10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{01BD2E21-FD80-4D65-8F9B-FA969EBEE833}</x14:id>
        </ext>
      </extLst>
    </cfRule>
  </conditionalFormatting>
  <conditionalFormatting sqref="W6:W9">
    <cfRule type="dataBar" priority="9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{8F5CB646-8298-402E-A5D8-F94A6E7516A6}</x14:id>
        </ext>
      </extLst>
    </cfRule>
  </conditionalFormatting>
  <conditionalFormatting sqref="W16:W19">
    <cfRule type="dataBar" priority="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{EFAA379C-AA04-4F98-826A-CE7FB52DD376}</x14:id>
        </ext>
      </extLst>
    </cfRule>
  </conditionalFormatting>
  <conditionalFormatting sqref="W21:W24">
    <cfRule type="dataBar" priority="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{3E2A5A63-A0DF-4A75-AD85-D39458EB89B4}</x14:id>
        </ext>
      </extLst>
    </cfRule>
  </conditionalFormatting>
  <conditionalFormatting sqref="W26:W29">
    <cfRule type="dataBar" priority="9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{68944B3E-AC89-4BCC-B5D6-414399B7D348}</x14:id>
        </ext>
      </extLst>
    </cfRule>
  </conditionalFormatting>
  <conditionalFormatting sqref="W31:W35">
    <cfRule type="dataBar" priority="9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{C5390AAA-F728-4EFA-A5BC-B6D09FA08D8B}</x14:id>
        </ext>
      </extLst>
    </cfRule>
  </conditionalFormatting>
  <conditionalFormatting sqref="O16:O19">
    <cfRule type="colorScale" priority="8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1:O24">
    <cfRule type="colorScale" priority="8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6:O29">
    <cfRule type="colorScale" priority="8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31:O35">
    <cfRule type="colorScale" priority="80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Y6:Y9 Y11:Y14">
    <cfRule type="colorScale" priority="7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Y16:Y19">
    <cfRule type="colorScale" priority="7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Y21:Y24">
    <cfRule type="colorScale" priority="7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Y26:Y29">
    <cfRule type="colorScale" priority="7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Y31:Y35">
    <cfRule type="colorScale" priority="70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6:O9 O11:O14">
    <cfRule type="colorScale" priority="60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L6:L9 L11:L36">
    <cfRule type="top10" dxfId="58" priority="291" rank="1"/>
  </conditionalFormatting>
  <conditionalFormatting sqref="K6:K36">
    <cfRule type="top10" dxfId="57" priority="292" rank="1"/>
  </conditionalFormatting>
  <conditionalFormatting sqref="U6:U9 U11:U36">
    <cfRule type="top10" dxfId="56" priority="293" rank="5"/>
  </conditionalFormatting>
  <conditionalFormatting sqref="P6:S9 P11:S36">
    <cfRule type="top10" dxfId="55" priority="294" rank="3"/>
  </conditionalFormatting>
  <conditionalFormatting sqref="Z7">
    <cfRule type="expression" dxfId="54" priority="59">
      <formula>Z7&gt;AA7</formula>
    </cfRule>
  </conditionalFormatting>
  <conditionalFormatting sqref="Z8">
    <cfRule type="expression" dxfId="53" priority="58">
      <formula>Z8&gt;AA8</formula>
    </cfRule>
  </conditionalFormatting>
  <conditionalFormatting sqref="Z9">
    <cfRule type="expression" dxfId="52" priority="57">
      <formula>Z9&gt;AA9</formula>
    </cfRule>
  </conditionalFormatting>
  <conditionalFormatting sqref="Z11">
    <cfRule type="expression" dxfId="51" priority="56">
      <formula>Z11&gt;AA11</formula>
    </cfRule>
  </conditionalFormatting>
  <conditionalFormatting sqref="Z12">
    <cfRule type="expression" dxfId="50" priority="55">
      <formula>Z12&gt;AA12</formula>
    </cfRule>
  </conditionalFormatting>
  <conditionalFormatting sqref="Z13">
    <cfRule type="expression" dxfId="49" priority="54">
      <formula>Z13&gt;AA13</formula>
    </cfRule>
  </conditionalFormatting>
  <conditionalFormatting sqref="Z14">
    <cfRule type="expression" dxfId="48" priority="53">
      <formula>Z14&gt;AA14</formula>
    </cfRule>
  </conditionalFormatting>
  <conditionalFormatting sqref="Z16">
    <cfRule type="expression" dxfId="47" priority="52">
      <formula>Z16&gt;AA16</formula>
    </cfRule>
  </conditionalFormatting>
  <conditionalFormatting sqref="Z17">
    <cfRule type="expression" dxfId="46" priority="51">
      <formula>Z17&gt;AA17</formula>
    </cfRule>
  </conditionalFormatting>
  <conditionalFormatting sqref="Z18">
    <cfRule type="expression" dxfId="45" priority="50">
      <formula>Z18&gt;AA18</formula>
    </cfRule>
  </conditionalFormatting>
  <conditionalFormatting sqref="Z19">
    <cfRule type="expression" dxfId="44" priority="49">
      <formula>Z19&gt;AA19</formula>
    </cfRule>
  </conditionalFormatting>
  <conditionalFormatting sqref="Z21">
    <cfRule type="expression" dxfId="43" priority="48">
      <formula>Z21&gt;AA21</formula>
    </cfRule>
  </conditionalFormatting>
  <conditionalFormatting sqref="Z22">
    <cfRule type="expression" dxfId="42" priority="47">
      <formula>Z22&gt;AA22</formula>
    </cfRule>
  </conditionalFormatting>
  <conditionalFormatting sqref="Z23">
    <cfRule type="expression" dxfId="41" priority="46">
      <formula>Z23&gt;AA23</formula>
    </cfRule>
  </conditionalFormatting>
  <conditionalFormatting sqref="Z24">
    <cfRule type="expression" dxfId="40" priority="45">
      <formula>Z24&gt;AA24</formula>
    </cfRule>
  </conditionalFormatting>
  <conditionalFormatting sqref="Z26">
    <cfRule type="expression" dxfId="39" priority="44">
      <formula>Z26&gt;AA26</formula>
    </cfRule>
  </conditionalFormatting>
  <conditionalFormatting sqref="Z27">
    <cfRule type="expression" dxfId="38" priority="43">
      <formula>Z27&gt;AA27</formula>
    </cfRule>
  </conditionalFormatting>
  <conditionalFormatting sqref="Z28">
    <cfRule type="expression" dxfId="37" priority="42">
      <formula>Z28&gt;AA28</formula>
    </cfRule>
  </conditionalFormatting>
  <conditionalFormatting sqref="Z29">
    <cfRule type="expression" dxfId="36" priority="41">
      <formula>Z29&gt;AA29</formula>
    </cfRule>
  </conditionalFormatting>
  <conditionalFormatting sqref="Z31">
    <cfRule type="expression" dxfId="35" priority="40">
      <formula>Z31&gt;AA31</formula>
    </cfRule>
  </conditionalFormatting>
  <conditionalFormatting sqref="Z32">
    <cfRule type="expression" dxfId="34" priority="39">
      <formula>Z32&gt;AA32</formula>
    </cfRule>
  </conditionalFormatting>
  <conditionalFormatting sqref="Z33">
    <cfRule type="expression" dxfId="33" priority="38">
      <formula>Z33&gt;AA33</formula>
    </cfRule>
  </conditionalFormatting>
  <conditionalFormatting sqref="Z34:Z35">
    <cfRule type="expression" dxfId="32" priority="37">
      <formula>Z34&gt;AA34</formula>
    </cfRule>
  </conditionalFormatting>
  <conditionalFormatting sqref="K10">
    <cfRule type="expression" dxfId="31" priority="32">
      <formula>M10=1</formula>
    </cfRule>
  </conditionalFormatting>
  <conditionalFormatting sqref="Y10">
    <cfRule type="expression" dxfId="30" priority="31">
      <formula>AA10=1</formula>
    </cfRule>
  </conditionalFormatting>
  <conditionalFormatting sqref="AD10">
    <cfRule type="colorScale" priority="3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L10">
    <cfRule type="top10" dxfId="29" priority="33" rank="1"/>
  </conditionalFormatting>
  <conditionalFormatting sqref="K10">
    <cfRule type="top10" dxfId="28" priority="34" rank="1"/>
  </conditionalFormatting>
  <conditionalFormatting sqref="U10">
    <cfRule type="top10" dxfId="27" priority="35" rank="5"/>
  </conditionalFormatting>
  <conditionalFormatting sqref="P10:S10">
    <cfRule type="top10" dxfId="26" priority="36" rank="3"/>
  </conditionalFormatting>
  <conditionalFormatting sqref="W11:W14">
    <cfRule type="dataBar" priority="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{3BAEF9FD-288E-4040-8D39-78BA3023784D}</x14:id>
        </ext>
      </extLst>
    </cfRule>
  </conditionalFormatting>
  <conditionalFormatting sqref="K8">
    <cfRule type="expression" dxfId="25" priority="28">
      <formula>M8=1</formula>
    </cfRule>
  </conditionalFormatting>
  <conditionalFormatting sqref="K9">
    <cfRule type="expression" dxfId="24" priority="27">
      <formula>M9=1</formula>
    </cfRule>
  </conditionalFormatting>
  <conditionalFormatting sqref="K11">
    <cfRule type="expression" dxfId="23" priority="26">
      <formula>M11=1</formula>
    </cfRule>
  </conditionalFormatting>
  <conditionalFormatting sqref="K12">
    <cfRule type="expression" dxfId="22" priority="25">
      <formula>M12=1</formula>
    </cfRule>
  </conditionalFormatting>
  <conditionalFormatting sqref="K13">
    <cfRule type="expression" dxfId="21" priority="24">
      <formula>M13=1</formula>
    </cfRule>
  </conditionalFormatting>
  <conditionalFormatting sqref="K14">
    <cfRule type="expression" dxfId="20" priority="23">
      <formula>M14=1</formula>
    </cfRule>
  </conditionalFormatting>
  <conditionalFormatting sqref="K16">
    <cfRule type="expression" dxfId="19" priority="22">
      <formula>M16=1</formula>
    </cfRule>
  </conditionalFormatting>
  <conditionalFormatting sqref="K17">
    <cfRule type="expression" dxfId="18" priority="21">
      <formula>M17=1</formula>
    </cfRule>
  </conditionalFormatting>
  <conditionalFormatting sqref="K18">
    <cfRule type="expression" dxfId="17" priority="20">
      <formula>M18=1</formula>
    </cfRule>
  </conditionalFormatting>
  <conditionalFormatting sqref="K19">
    <cfRule type="expression" dxfId="16" priority="19">
      <formula>M19=1</formula>
    </cfRule>
  </conditionalFormatting>
  <conditionalFormatting sqref="K21">
    <cfRule type="expression" dxfId="15" priority="18">
      <formula>M21=1</formula>
    </cfRule>
  </conditionalFormatting>
  <conditionalFormatting sqref="K22">
    <cfRule type="expression" dxfId="14" priority="17">
      <formula>M22=1</formula>
    </cfRule>
  </conditionalFormatting>
  <conditionalFormatting sqref="K23">
    <cfRule type="expression" dxfId="13" priority="16">
      <formula>M23=1</formula>
    </cfRule>
  </conditionalFormatting>
  <conditionalFormatting sqref="K21">
    <cfRule type="expression" dxfId="12" priority="13">
      <formula>M21=1</formula>
    </cfRule>
  </conditionalFormatting>
  <conditionalFormatting sqref="K22">
    <cfRule type="expression" dxfId="11" priority="12">
      <formula>M22=1</formula>
    </cfRule>
  </conditionalFormatting>
  <conditionalFormatting sqref="K23">
    <cfRule type="expression" dxfId="10" priority="11">
      <formula>M23=1</formula>
    </cfRule>
  </conditionalFormatting>
  <conditionalFormatting sqref="K24">
    <cfRule type="expression" dxfId="9" priority="10">
      <formula>M24=1</formula>
    </cfRule>
  </conditionalFormatting>
  <conditionalFormatting sqref="K26">
    <cfRule type="expression" dxfId="8" priority="9">
      <formula>M26=1</formula>
    </cfRule>
  </conditionalFormatting>
  <conditionalFormatting sqref="K27">
    <cfRule type="expression" dxfId="7" priority="8">
      <formula>M27=1</formula>
    </cfRule>
  </conditionalFormatting>
  <conditionalFormatting sqref="K28">
    <cfRule type="expression" dxfId="6" priority="7">
      <formula>M28=1</formula>
    </cfRule>
  </conditionalFormatting>
  <conditionalFormatting sqref="K29">
    <cfRule type="expression" dxfId="5" priority="6">
      <formula>M29=1</formula>
    </cfRule>
  </conditionalFormatting>
  <conditionalFormatting sqref="K31">
    <cfRule type="expression" dxfId="4" priority="5">
      <formula>M31=1</formula>
    </cfRule>
  </conditionalFormatting>
  <conditionalFormatting sqref="K32">
    <cfRule type="expression" dxfId="3" priority="4">
      <formula>M32=1</formula>
    </cfRule>
  </conditionalFormatting>
  <conditionalFormatting sqref="K33">
    <cfRule type="expression" dxfId="2" priority="3">
      <formula>M33=1</formula>
    </cfRule>
  </conditionalFormatting>
  <conditionalFormatting sqref="K34">
    <cfRule type="expression" dxfId="1" priority="2">
      <formula>M34=1</formula>
    </cfRule>
  </conditionalFormatting>
  <conditionalFormatting sqref="K35">
    <cfRule type="expression" dxfId="0" priority="1">
      <formula>M35=1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BC2BA55-4E44-4B7A-8278-9CC76E7F8215}">
            <x14:dataBar minLength="0" maxLength="100" negativeBarColorSameAsPositive="1" axisPosition="none">
              <x14:cfvo type="min"/>
              <x14:cfvo type="max"/>
            </x14:dataBar>
          </x14:cfRule>
          <xm:sqref>J6:J9 J11:J14</xm:sqref>
        </x14:conditionalFormatting>
        <x14:conditionalFormatting xmlns:xm="http://schemas.microsoft.com/office/excel/2006/main">
          <x14:cfRule type="dataBar" id="{9BA3521C-FE9C-4C58-9723-99397651BF47}">
            <x14:dataBar minLength="0" maxLength="100" negativeBarColorSameAsPositive="1" axisPosition="none">
              <x14:cfvo type="min"/>
              <x14:cfvo type="max"/>
            </x14:dataBar>
          </x14:cfRule>
          <xm:sqref>J16:J19</xm:sqref>
        </x14:conditionalFormatting>
        <x14:conditionalFormatting xmlns:xm="http://schemas.microsoft.com/office/excel/2006/main">
          <x14:cfRule type="dataBar" id="{6502A438-A962-4CAE-B9FF-BCC7DF1618F0}">
            <x14:dataBar minLength="0" maxLength="100" negativeBarColorSameAsPositive="1" axisPosition="none">
              <x14:cfvo type="min"/>
              <x14:cfvo type="max"/>
            </x14:dataBar>
          </x14:cfRule>
          <xm:sqref>J21:J24</xm:sqref>
        </x14:conditionalFormatting>
        <x14:conditionalFormatting xmlns:xm="http://schemas.microsoft.com/office/excel/2006/main">
          <x14:cfRule type="dataBar" id="{46E51547-F31D-4548-822C-C9098EBB22E4}">
            <x14:dataBar minLength="0" maxLength="100" negativeBarColorSameAsPositive="1" axisPosition="none">
              <x14:cfvo type="min"/>
              <x14:cfvo type="max"/>
            </x14:dataBar>
          </x14:cfRule>
          <xm:sqref>J26:J29</xm:sqref>
        </x14:conditionalFormatting>
        <x14:conditionalFormatting xmlns:xm="http://schemas.microsoft.com/office/excel/2006/main">
          <x14:cfRule type="dataBar" id="{71048BE3-BB9E-4AF2-B3F5-48BE875E30AC}">
            <x14:dataBar minLength="0" maxLength="100" negativeBarColorSameAsPositive="1" axisPosition="none">
              <x14:cfvo type="min"/>
              <x14:cfvo type="max"/>
            </x14:dataBar>
          </x14:cfRule>
          <xm:sqref>J31:J35</xm:sqref>
        </x14:conditionalFormatting>
        <x14:conditionalFormatting xmlns:xm="http://schemas.microsoft.com/office/excel/2006/main">
          <x14:cfRule type="dataBar" id="{6D1DE649-F211-4BB3-B03F-6205335DAF84}">
            <x14:dataBar minLength="0" maxLength="100" negativeBarColorSameAsPositive="1" axisPosition="none">
              <x14:cfvo type="min"/>
              <x14:cfvo type="max"/>
            </x14:dataBar>
          </x14:cfRule>
          <xm:sqref>T6:T9 T11:T14</xm:sqref>
        </x14:conditionalFormatting>
        <x14:conditionalFormatting xmlns:xm="http://schemas.microsoft.com/office/excel/2006/main">
          <x14:cfRule type="dataBar" id="{F2C3E2B3-BA04-4951-A455-FC88ADF32BC2}">
            <x14:dataBar minLength="0" maxLength="100" negativeBarColorSameAsPositive="1" axisPosition="none">
              <x14:cfvo type="min"/>
              <x14:cfvo type="max"/>
            </x14:dataBar>
          </x14:cfRule>
          <xm:sqref>T16:T19</xm:sqref>
        </x14:conditionalFormatting>
        <x14:conditionalFormatting xmlns:xm="http://schemas.microsoft.com/office/excel/2006/main">
          <x14:cfRule type="dataBar" id="{AC57CE18-FFFE-4CA3-B632-C64CC8426D8F}">
            <x14:dataBar minLength="0" maxLength="100" negativeBarColorSameAsPositive="1" axisPosition="none">
              <x14:cfvo type="min"/>
              <x14:cfvo type="max"/>
            </x14:dataBar>
          </x14:cfRule>
          <xm:sqref>T21:T24</xm:sqref>
        </x14:conditionalFormatting>
        <x14:conditionalFormatting xmlns:xm="http://schemas.microsoft.com/office/excel/2006/main">
          <x14:cfRule type="dataBar" id="{33B15664-0ABB-4FAB-85CB-9F9373636587}">
            <x14:dataBar minLength="0" maxLength="100" negativeBarColorSameAsPositive="1" axisPosition="none">
              <x14:cfvo type="min"/>
              <x14:cfvo type="max"/>
            </x14:dataBar>
          </x14:cfRule>
          <xm:sqref>T26:T29</xm:sqref>
        </x14:conditionalFormatting>
        <x14:conditionalFormatting xmlns:xm="http://schemas.microsoft.com/office/excel/2006/main">
          <x14:cfRule type="dataBar" id="{01BD2E21-FD80-4D65-8F9B-FA969EBEE833}">
            <x14:dataBar minLength="0" maxLength="100" negativeBarColorSameAsPositive="1" axisPosition="none">
              <x14:cfvo type="min"/>
              <x14:cfvo type="max"/>
            </x14:dataBar>
          </x14:cfRule>
          <xm:sqref>T31:T35</xm:sqref>
        </x14:conditionalFormatting>
        <x14:conditionalFormatting xmlns:xm="http://schemas.microsoft.com/office/excel/2006/main">
          <x14:cfRule type="dataBar" id="{8F5CB646-8298-402E-A5D8-F94A6E7516A6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W6:W9</xm:sqref>
        </x14:conditionalFormatting>
        <x14:conditionalFormatting xmlns:xm="http://schemas.microsoft.com/office/excel/2006/main">
          <x14:cfRule type="dataBar" id="{EFAA379C-AA04-4F98-826A-CE7FB52DD376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W16:W19</xm:sqref>
        </x14:conditionalFormatting>
        <x14:conditionalFormatting xmlns:xm="http://schemas.microsoft.com/office/excel/2006/main">
          <x14:cfRule type="dataBar" id="{3E2A5A63-A0DF-4A75-AD85-D39458EB89B4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W21:W24</xm:sqref>
        </x14:conditionalFormatting>
        <x14:conditionalFormatting xmlns:xm="http://schemas.microsoft.com/office/excel/2006/main">
          <x14:cfRule type="dataBar" id="{68944B3E-AC89-4BCC-B5D6-414399B7D348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W26:W29</xm:sqref>
        </x14:conditionalFormatting>
        <x14:conditionalFormatting xmlns:xm="http://schemas.microsoft.com/office/excel/2006/main">
          <x14:cfRule type="dataBar" id="{C5390AAA-F728-4EFA-A5BC-B6D09FA08D8B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W31:W35</xm:sqref>
        </x14:conditionalFormatting>
        <x14:conditionalFormatting xmlns:xm="http://schemas.microsoft.com/office/excel/2006/main">
          <x14:cfRule type="dataBar" id="{3BAEF9FD-288E-4040-8D39-78BA302378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W11:W14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Contracts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2023-05-30T12:30:19Z</dcterms:modified>
</cp:coreProperties>
</file>