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62913"/>
</workbook>
</file>

<file path=xl/calcChain.xml><?xml version="1.0" encoding="utf-8"?>
<calcChain xmlns="http://schemas.openxmlformats.org/spreadsheetml/2006/main">
  <c r="R5" i="1" l="1"/>
  <c r="A1" i="1"/>
  <c r="K12" i="1"/>
  <c r="B11" i="1"/>
  <c r="B13" i="1"/>
  <c r="P11" i="1"/>
  <c r="L18" i="1"/>
  <c r="N13" i="1"/>
  <c r="B22" i="1"/>
  <c r="B17" i="1"/>
  <c r="K21" i="1"/>
  <c r="N6" i="1"/>
  <c r="B14" i="1"/>
  <c r="Z23" i="1"/>
  <c r="Z12" i="1"/>
  <c r="P17" i="1"/>
  <c r="H12" i="1"/>
  <c r="H11" i="1"/>
  <c r="N12" i="1"/>
  <c r="K14" i="1"/>
  <c r="N16" i="1"/>
  <c r="Z17" i="1"/>
  <c r="Z8" i="1"/>
  <c r="L11" i="1"/>
  <c r="L22" i="1"/>
  <c r="K23" i="1"/>
  <c r="K19" i="1"/>
  <c r="H7" i="1"/>
  <c r="N22" i="1"/>
  <c r="K9" i="1"/>
  <c r="P22" i="1"/>
  <c r="N23" i="1"/>
  <c r="K11" i="1"/>
  <c r="L19" i="1"/>
  <c r="Z22" i="1"/>
  <c r="L9" i="1"/>
  <c r="F1" i="1"/>
  <c r="K6" i="1"/>
  <c r="Z21" i="1"/>
  <c r="B8" i="1"/>
  <c r="Z9" i="1"/>
  <c r="P18" i="1"/>
  <c r="K7" i="1"/>
  <c r="K17" i="1"/>
  <c r="Z14" i="1"/>
  <c r="K13" i="1"/>
  <c r="L8" i="1"/>
  <c r="P23" i="1"/>
  <c r="B24" i="1"/>
  <c r="N9" i="1"/>
  <c r="Z7" i="1"/>
  <c r="N21" i="1"/>
  <c r="H8" i="1"/>
  <c r="P13" i="1"/>
  <c r="P12" i="1"/>
  <c r="K8" i="1"/>
  <c r="L23" i="1"/>
  <c r="L7" i="1"/>
  <c r="L13" i="1"/>
  <c r="L16" i="1"/>
  <c r="N14" i="1"/>
  <c r="H9" i="1"/>
  <c r="L12" i="1"/>
  <c r="L24" i="1"/>
  <c r="Z18" i="1"/>
  <c r="Z6" i="1"/>
  <c r="Z19" i="1"/>
  <c r="P9" i="1"/>
  <c r="L21" i="1"/>
  <c r="P21" i="1"/>
  <c r="B12" i="1"/>
  <c r="B19" i="1"/>
  <c r="N24" i="1"/>
  <c r="Z13" i="1"/>
  <c r="N11" i="1"/>
  <c r="P8" i="1"/>
  <c r="B23" i="1"/>
  <c r="K18" i="1"/>
  <c r="N19" i="1"/>
  <c r="B16" i="1"/>
  <c r="H13" i="1"/>
  <c r="B7" i="1"/>
  <c r="B9" i="1"/>
  <c r="Z24" i="1"/>
  <c r="N17" i="1"/>
  <c r="K24" i="1"/>
  <c r="L17" i="1"/>
  <c r="B18" i="1"/>
  <c r="K22" i="1"/>
  <c r="P16" i="1"/>
  <c r="K16" i="1"/>
  <c r="Z11" i="1"/>
  <c r="H6" i="1"/>
  <c r="H14" i="1"/>
  <c r="N8" i="1"/>
  <c r="Z16" i="1"/>
  <c r="L14" i="1"/>
  <c r="B6" i="1"/>
  <c r="D1" i="1"/>
  <c r="N18" i="1"/>
  <c r="B21" i="1"/>
  <c r="N7" i="1"/>
  <c r="L6" i="1"/>
  <c r="P19" i="1"/>
  <c r="P6" i="1"/>
  <c r="N26" i="1"/>
  <c r="Y26" i="1"/>
  <c r="E2" i="1"/>
  <c r="AA2" i="1"/>
  <c r="U26" i="1"/>
  <c r="AC50" i="1"/>
  <c r="O6" i="1" l="1"/>
  <c r="B1" i="1"/>
  <c r="C1" i="1" s="1"/>
  <c r="AB9" i="1"/>
  <c r="M6" i="1"/>
  <c r="J6" i="1"/>
  <c r="M12" i="1"/>
  <c r="J12" i="1"/>
  <c r="O12" i="1"/>
  <c r="AB18" i="1"/>
  <c r="O17" i="1"/>
  <c r="J17" i="1"/>
  <c r="M17" i="1"/>
  <c r="O22" i="1"/>
  <c r="M22" i="1"/>
  <c r="J22" i="1"/>
  <c r="AB8" i="1"/>
  <c r="O11" i="1"/>
  <c r="J11" i="1"/>
  <c r="M11" i="1"/>
  <c r="M19" i="1"/>
  <c r="J19" i="1"/>
  <c r="O19" i="1"/>
  <c r="O8" i="1"/>
  <c r="J8" i="1"/>
  <c r="M8" i="1"/>
  <c r="AB17" i="1"/>
  <c r="M16" i="1"/>
  <c r="J16" i="1"/>
  <c r="O16" i="1"/>
  <c r="J18" i="1"/>
  <c r="M18" i="1"/>
  <c r="O18" i="1"/>
  <c r="M9" i="1"/>
  <c r="J9" i="1"/>
  <c r="O9" i="1"/>
  <c r="AB21" i="1"/>
  <c r="J7" i="1"/>
  <c r="M7" i="1"/>
  <c r="O7" i="1"/>
  <c r="AB24" i="1"/>
  <c r="AB22" i="1"/>
  <c r="O13" i="1"/>
  <c r="M13" i="1"/>
  <c r="J13" i="1"/>
  <c r="O14" i="1"/>
  <c r="M14" i="1"/>
  <c r="J14" i="1"/>
  <c r="M24" i="1"/>
  <c r="J24" i="1"/>
  <c r="O24" i="1"/>
  <c r="E1" i="1"/>
  <c r="AB16" i="1"/>
  <c r="AB7" i="1"/>
  <c r="AB11" i="1"/>
  <c r="AB23" i="1"/>
  <c r="AB19" i="1"/>
  <c r="AB6" i="1"/>
  <c r="AB14" i="1"/>
  <c r="M21" i="1"/>
  <c r="J21" i="1"/>
  <c r="O21" i="1"/>
  <c r="O23" i="1"/>
  <c r="J23" i="1"/>
  <c r="M23" i="1"/>
  <c r="AB13" i="1"/>
  <c r="AB12" i="1"/>
  <c r="U24" i="1"/>
  <c r="X18" i="1"/>
  <c r="U22" i="1"/>
  <c r="U23" i="1"/>
  <c r="U13" i="1"/>
  <c r="X19" i="1"/>
  <c r="F23" i="1"/>
  <c r="X22" i="1"/>
  <c r="X21" i="1"/>
  <c r="X23" i="1"/>
  <c r="F9" i="1"/>
  <c r="X24" i="1"/>
  <c r="F7" i="1"/>
  <c r="U11" i="1"/>
  <c r="U21" i="1"/>
  <c r="U12" i="1"/>
  <c r="X6" i="1"/>
  <c r="F19" i="1"/>
  <c r="F14" i="1"/>
  <c r="U9" i="1"/>
  <c r="U17" i="1"/>
  <c r="X17" i="1"/>
  <c r="F11" i="1"/>
  <c r="F8" i="1"/>
  <c r="X14" i="1"/>
  <c r="X13" i="1"/>
  <c r="X7" i="1"/>
  <c r="U8" i="1"/>
  <c r="X11" i="1"/>
  <c r="X12" i="1"/>
  <c r="X16" i="1"/>
  <c r="U19" i="1"/>
  <c r="F21" i="1"/>
  <c r="U14" i="1"/>
  <c r="F22" i="1"/>
  <c r="F18" i="1"/>
  <c r="X9" i="1"/>
  <c r="F12" i="1"/>
  <c r="U16" i="1"/>
  <c r="F24" i="1"/>
  <c r="F13" i="1"/>
  <c r="F17" i="1"/>
  <c r="U6" i="1"/>
  <c r="F6" i="1"/>
  <c r="F16" i="1"/>
  <c r="U18" i="1"/>
  <c r="X8" i="1"/>
  <c r="U7" i="1"/>
  <c r="P7" i="1"/>
  <c r="P24" i="1"/>
  <c r="P14" i="1"/>
  <c r="AA6" i="1"/>
  <c r="Y13" i="1" l="1"/>
  <c r="Y12" i="1"/>
  <c r="Y22" i="1"/>
  <c r="Y21" i="1"/>
  <c r="Y9" i="1"/>
  <c r="Y11" i="1"/>
  <c r="Y8" i="1"/>
  <c r="Y6" i="1"/>
  <c r="Y14" i="1"/>
  <c r="Y16" i="1"/>
  <c r="Y17" i="1"/>
  <c r="Y24" i="1"/>
  <c r="Y18" i="1"/>
  <c r="Y19" i="1"/>
  <c r="Y7" i="1"/>
  <c r="Y23" i="1"/>
  <c r="V18" i="1"/>
  <c r="W18" i="1" s="1"/>
  <c r="T18" i="1"/>
  <c r="T9" i="1"/>
  <c r="V9" i="1"/>
  <c r="W9" i="1" s="1"/>
  <c r="T23" i="1"/>
  <c r="V23" i="1"/>
  <c r="W23" i="1" s="1"/>
  <c r="V21" i="1"/>
  <c r="W21" i="1" s="1"/>
  <c r="T21" i="1"/>
  <c r="T17" i="1"/>
  <c r="V17" i="1"/>
  <c r="W17" i="1" s="1"/>
  <c r="G19" i="1"/>
  <c r="G11" i="1"/>
  <c r="G24" i="1"/>
  <c r="G12" i="1"/>
  <c r="V11" i="1"/>
  <c r="W11" i="1" s="1"/>
  <c r="T11" i="1"/>
  <c r="T13" i="1"/>
  <c r="V13" i="1"/>
  <c r="W13" i="1" s="1"/>
  <c r="T8" i="1"/>
  <c r="V8" i="1"/>
  <c r="W8" i="1" s="1"/>
  <c r="G9" i="1"/>
  <c r="V12" i="1"/>
  <c r="W12" i="1" s="1"/>
  <c r="T12" i="1"/>
  <c r="T22" i="1"/>
  <c r="V22" i="1"/>
  <c r="W22" i="1" s="1"/>
  <c r="G8" i="1"/>
  <c r="G7" i="1"/>
  <c r="G18" i="1"/>
  <c r="V19" i="1"/>
  <c r="W19" i="1" s="1"/>
  <c r="T19" i="1"/>
  <c r="G22" i="1"/>
  <c r="V16" i="1"/>
  <c r="W16" i="1" s="1"/>
  <c r="T16" i="1"/>
  <c r="G13" i="1"/>
  <c r="G6" i="1"/>
  <c r="G23" i="1"/>
  <c r="T24" i="1"/>
  <c r="V24" i="1"/>
  <c r="W24" i="1" s="1"/>
  <c r="G17" i="1"/>
  <c r="G14" i="1"/>
  <c r="G16" i="1"/>
  <c r="T14" i="1"/>
  <c r="V14" i="1"/>
  <c r="W14" i="1" s="1"/>
  <c r="T6" i="1"/>
  <c r="V6" i="1"/>
  <c r="W6" i="1" s="1"/>
  <c r="T7" i="1"/>
  <c r="V7" i="1"/>
  <c r="W7" i="1" s="1"/>
  <c r="G21" i="1"/>
  <c r="AA24" i="1"/>
  <c r="AA11" i="1"/>
  <c r="AA7" i="1"/>
  <c r="AA17" i="1"/>
  <c r="AA21" i="1"/>
  <c r="AA22" i="1"/>
  <c r="AA23" i="1"/>
  <c r="AA18" i="1"/>
  <c r="AA16" i="1"/>
  <c r="AA9" i="1"/>
  <c r="AA8" i="1"/>
  <c r="AA14" i="1"/>
  <c r="AA12" i="1"/>
  <c r="AA13" i="1"/>
  <c r="AA19" i="1"/>
</calcChain>
</file>

<file path=xl/sharedStrings.xml><?xml version="1.0" encoding="utf-8"?>
<sst xmlns="http://schemas.openxmlformats.org/spreadsheetml/2006/main" count="40" uniqueCount="39">
  <si>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</si>
  <si>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</si>
  <si>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</si>
  <si>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</si>
  <si>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</si>
  <si>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</si>
  <si>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</si>
  <si>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</si>
  <si>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</si>
  <si>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</si>
  <si>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</si>
  <si>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</si>
  <si>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</si>
  <si>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</si>
  <si>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</si>
  <si>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</si>
  <si>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</si>
  <si>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</si>
  <si>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</si>
  <si>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</si>
  <si>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</si>
  <si>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</si>
  <si>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</si>
  <si>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</si>
  <si>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</si>
  <si>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</si>
  <si>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</si>
  <si>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</si>
  <si>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</si>
  <si>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</si>
  <si>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</si>
  <si>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</si>
  <si>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 xml:space="preserve">Chicago: </t>
  </si>
  <si>
    <t>MA:</t>
  </si>
  <si>
    <t>Month</t>
  </si>
  <si>
    <t xml:space="preserve">London: </t>
  </si>
  <si>
    <t xml:space="preserve">  Copyright © 2023                       Designed by Thom Hartle</t>
  </si>
  <si>
    <t>CQG Three Month SARON Volume and Open Interest Dashboard</t>
  </si>
  <si>
    <t>SA3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</si>
</sst>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sz val="1"/>
      <color theme="4" tint="0.79998168889431442"/>
      <name val="Century Gothic"/>
      <family val="2"/>
    </font>
    <font>
      <sz val="22"/>
      <color rgb="FF00B050"/>
      <name val="Century Gothic"/>
      <family val="2"/>
    </font>
    <font>
      <sz val="18"/>
      <color rgb="FF00B050"/>
      <name val="Century Gothic"/>
      <family val="2"/>
    </font>
    <font>
      <b/>
      <sz val="28"/>
      <color theme="4"/>
      <name val="Century Gothic"/>
      <family val="2"/>
    </font>
    <font>
      <b/>
      <sz val="26"/>
      <color theme="4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CB6D51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4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164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/>
    <xf numFmtId="164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/>
    <xf numFmtId="164" fontId="1" fillId="2" borderId="3" xfId="0" applyNumberFormat="1" applyFont="1" applyFill="1" applyBorder="1" applyAlignment="1">
      <alignment horizontal="left"/>
    </xf>
    <xf numFmtId="3" fontId="1" fillId="2" borderId="3" xfId="0" applyNumberFormat="1" applyFont="1" applyFill="1" applyBorder="1"/>
    <xf numFmtId="0" fontId="1" fillId="2" borderId="0" xfId="0" applyFont="1" applyFill="1" applyAlignment="1">
      <alignment shrinkToFit="1"/>
    </xf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10" fontId="1" fillId="2" borderId="8" xfId="0" applyNumberFormat="1" applyFont="1" applyFill="1" applyBorder="1"/>
    <xf numFmtId="3" fontId="1" fillId="2" borderId="9" xfId="0" applyNumberFormat="1" applyFont="1" applyFill="1" applyBorder="1"/>
    <xf numFmtId="10" fontId="1" fillId="2" borderId="10" xfId="0" applyNumberFormat="1" applyFont="1" applyFill="1" applyBorder="1"/>
    <xf numFmtId="164" fontId="1" fillId="2" borderId="7" xfId="0" applyNumberFormat="1" applyFont="1" applyFill="1" applyBorder="1" applyAlignment="1">
      <alignment horizontal="left"/>
    </xf>
    <xf numFmtId="3" fontId="1" fillId="3" borderId="12" xfId="0" applyNumberFormat="1" applyFont="1" applyFill="1" applyBorder="1"/>
    <xf numFmtId="164" fontId="1" fillId="3" borderId="12" xfId="0" applyNumberFormat="1" applyFont="1" applyFill="1" applyBorder="1" applyAlignment="1">
      <alignment horizontal="left"/>
    </xf>
    <xf numFmtId="0" fontId="1" fillId="3" borderId="12" xfId="0" applyFont="1" applyFill="1" applyBorder="1"/>
    <xf numFmtId="10" fontId="1" fillId="3" borderId="12" xfId="0" applyNumberFormat="1" applyFont="1" applyFill="1" applyBorder="1"/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3" borderId="0" xfId="0" applyNumberFormat="1" applyFont="1" applyFill="1" applyBorder="1"/>
    <xf numFmtId="0" fontId="1" fillId="3" borderId="13" xfId="0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0" fontId="1" fillId="2" borderId="14" xfId="0" applyFont="1" applyFill="1" applyBorder="1"/>
    <xf numFmtId="0" fontId="1" fillId="2" borderId="9" xfId="0" applyFont="1" applyFill="1" applyBorder="1"/>
    <xf numFmtId="0" fontId="1" fillId="2" borderId="15" xfId="0" applyFont="1" applyFill="1" applyBorder="1"/>
    <xf numFmtId="3" fontId="1" fillId="3" borderId="16" xfId="0" applyNumberFormat="1" applyFont="1" applyFill="1" applyBorder="1"/>
    <xf numFmtId="10" fontId="1" fillId="2" borderId="1" xfId="0" applyNumberFormat="1" applyFont="1" applyFill="1" applyBorder="1" applyAlignment="1">
      <alignment shrinkToFit="1"/>
    </xf>
    <xf numFmtId="10" fontId="1" fillId="2" borderId="2" xfId="0" applyNumberFormat="1" applyFont="1" applyFill="1" applyBorder="1" applyAlignment="1">
      <alignment shrinkToFit="1"/>
    </xf>
    <xf numFmtId="10" fontId="1" fillId="2" borderId="3" xfId="0" applyNumberFormat="1" applyFont="1" applyFill="1" applyBorder="1" applyAlignment="1">
      <alignment shrinkToFit="1"/>
    </xf>
    <xf numFmtId="10" fontId="1" fillId="3" borderId="12" xfId="0" applyNumberFormat="1" applyFont="1" applyFill="1" applyBorder="1" applyAlignment="1">
      <alignment shrinkToFit="1"/>
    </xf>
    <xf numFmtId="10" fontId="1" fillId="2" borderId="7" xfId="0" applyNumberFormat="1" applyFont="1" applyFill="1" applyBorder="1" applyAlignment="1">
      <alignment shrinkToFit="1"/>
    </xf>
    <xf numFmtId="0" fontId="4" fillId="4" borderId="0" xfId="0" applyFont="1" applyFill="1"/>
    <xf numFmtId="0" fontId="4" fillId="5" borderId="0" xfId="0" applyFont="1" applyFill="1"/>
    <xf numFmtId="0" fontId="4" fillId="4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shrinkToFit="1"/>
    </xf>
    <xf numFmtId="0" fontId="4" fillId="5" borderId="18" xfId="0" applyFont="1" applyFill="1" applyBorder="1" applyAlignment="1">
      <alignment horizontal="center" shrinkToFit="1"/>
    </xf>
    <xf numFmtId="0" fontId="4" fillId="4" borderId="19" xfId="0" applyFont="1" applyFill="1" applyBorder="1"/>
    <xf numFmtId="0" fontId="4" fillId="5" borderId="20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1" fillId="3" borderId="21" xfId="0" applyFont="1" applyFill="1" applyBorder="1" applyAlignment="1"/>
    <xf numFmtId="3" fontId="1" fillId="2" borderId="15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8" xfId="0" applyNumberFormat="1" applyFont="1" applyFill="1" applyBorder="1"/>
    <xf numFmtId="0" fontId="1" fillId="2" borderId="22" xfId="0" applyFont="1" applyFill="1" applyBorder="1"/>
    <xf numFmtId="0" fontId="1" fillId="2" borderId="6" xfId="0" applyFont="1" applyFill="1" applyBorder="1"/>
    <xf numFmtId="3" fontId="1" fillId="3" borderId="2" xfId="0" applyNumberFormat="1" applyFont="1" applyFill="1" applyBorder="1"/>
    <xf numFmtId="0" fontId="4" fillId="4" borderId="19" xfId="0" applyFont="1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0" fontId="1" fillId="1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13" borderId="7" xfId="0" applyFont="1" applyFill="1" applyBorder="1" applyAlignment="1">
      <alignment horizontal="left"/>
    </xf>
    <xf numFmtId="165" fontId="1" fillId="3" borderId="13" xfId="0" applyNumberFormat="1" applyFont="1" applyFill="1" applyBorder="1" applyAlignment="1">
      <alignment horizontal="left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0" fontId="1" fillId="13" borderId="23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4" fillId="14" borderId="27" xfId="0" applyFont="1" applyFill="1" applyBorder="1" applyAlignment="1" applyProtection="1">
      <alignment horizontal="center" wrapText="1"/>
      <protection locked="0"/>
    </xf>
    <xf numFmtId="0" fontId="4" fillId="14" borderId="27" xfId="0" applyFont="1" applyFill="1" applyBorder="1" applyAlignment="1" applyProtection="1">
      <protection locked="0"/>
    </xf>
    <xf numFmtId="0" fontId="4" fillId="15" borderId="18" xfId="0" applyFont="1" applyFill="1" applyBorder="1" applyAlignment="1" applyProtection="1">
      <alignment horizontal="center" wrapText="1"/>
      <protection locked="0"/>
    </xf>
    <xf numFmtId="0" fontId="5" fillId="15" borderId="18" xfId="0" applyFont="1" applyFill="1" applyBorder="1" applyAlignment="1"/>
    <xf numFmtId="0" fontId="2" fillId="15" borderId="18" xfId="0" applyFont="1" applyFill="1" applyBorder="1" applyAlignment="1">
      <alignment horizontal="center" wrapText="1"/>
    </xf>
    <xf numFmtId="3" fontId="1" fillId="3" borderId="12" xfId="0" applyNumberFormat="1" applyFont="1" applyFill="1" applyBorder="1" applyAlignment="1">
      <alignment horizontal="right" shrinkToFit="1"/>
    </xf>
    <xf numFmtId="0" fontId="1" fillId="2" borderId="1" xfId="0" applyFont="1" applyFill="1" applyBorder="1" applyAlignment="1"/>
    <xf numFmtId="0" fontId="1" fillId="2" borderId="28" xfId="0" applyFont="1" applyFill="1" applyBorder="1" applyAlignment="1"/>
    <xf numFmtId="0" fontId="1" fillId="13" borderId="2" xfId="0" applyFont="1" applyFill="1" applyBorder="1" applyAlignment="1"/>
    <xf numFmtId="0" fontId="1" fillId="13" borderId="29" xfId="0" applyFont="1" applyFill="1" applyBorder="1" applyAlignment="1"/>
    <xf numFmtId="0" fontId="1" fillId="9" borderId="2" xfId="0" applyFont="1" applyFill="1" applyBorder="1" applyAlignment="1"/>
    <xf numFmtId="0" fontId="1" fillId="9" borderId="29" xfId="0" applyFont="1" applyFill="1" applyBorder="1" applyAlignment="1"/>
    <xf numFmtId="0" fontId="1" fillId="7" borderId="2" xfId="0" applyFont="1" applyFill="1" applyBorder="1" applyAlignment="1"/>
    <xf numFmtId="0" fontId="1" fillId="7" borderId="29" xfId="0" applyFont="1" applyFill="1" applyBorder="1" applyAlignment="1"/>
    <xf numFmtId="0" fontId="1" fillId="8" borderId="2" xfId="0" applyFont="1" applyFill="1" applyBorder="1" applyAlignment="1"/>
    <xf numFmtId="0" fontId="1" fillId="8" borderId="29" xfId="0" applyFont="1" applyFill="1" applyBorder="1" applyAlignment="1"/>
    <xf numFmtId="0" fontId="1" fillId="11" borderId="2" xfId="0" applyFont="1" applyFill="1" applyBorder="1" applyAlignment="1"/>
    <xf numFmtId="0" fontId="1" fillId="11" borderId="29" xfId="0" applyFont="1" applyFill="1" applyBorder="1" applyAlignment="1"/>
    <xf numFmtId="0" fontId="2" fillId="12" borderId="2" xfId="0" applyFont="1" applyFill="1" applyBorder="1" applyAlignment="1"/>
    <xf numFmtId="0" fontId="2" fillId="12" borderId="29" xfId="0" applyFont="1" applyFill="1" applyBorder="1" applyAlignment="1"/>
    <xf numFmtId="0" fontId="1" fillId="6" borderId="2" xfId="0" applyFont="1" applyFill="1" applyBorder="1" applyAlignment="1"/>
    <xf numFmtId="0" fontId="1" fillId="6" borderId="29" xfId="0" applyFont="1" applyFill="1" applyBorder="1" applyAlignment="1"/>
    <xf numFmtId="0" fontId="1" fillId="2" borderId="1" xfId="0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vertical="center"/>
    </xf>
    <xf numFmtId="165" fontId="6" fillId="3" borderId="30" xfId="0" applyNumberFormat="1" applyFont="1" applyFill="1" applyBorder="1" applyAlignment="1">
      <alignment vertical="center"/>
    </xf>
    <xf numFmtId="165" fontId="6" fillId="3" borderId="20" xfId="0" applyNumberFormat="1" applyFont="1" applyFill="1" applyBorder="1" applyAlignment="1">
      <alignment vertical="center"/>
    </xf>
    <xf numFmtId="165" fontId="6" fillId="3" borderId="31" xfId="0" applyNumberFormat="1" applyFont="1" applyFill="1" applyBorder="1" applyAlignment="1">
      <alignment vertical="center"/>
    </xf>
    <xf numFmtId="0" fontId="1" fillId="3" borderId="13" xfId="0" applyFont="1" applyFill="1" applyBorder="1" applyAlignment="1"/>
    <xf numFmtId="0" fontId="5" fillId="15" borderId="0" xfId="0" applyFont="1" applyFill="1" applyBorder="1" applyAlignment="1"/>
    <xf numFmtId="3" fontId="1" fillId="17" borderId="39" xfId="0" applyNumberFormat="1" applyFont="1" applyFill="1" applyBorder="1" applyAlignment="1">
      <alignment horizontal="right" shrinkToFit="1"/>
    </xf>
    <xf numFmtId="3" fontId="1" fillId="17" borderId="0" xfId="0" applyNumberFormat="1" applyFont="1" applyFill="1" applyBorder="1" applyAlignment="1">
      <alignment horizontal="right" shrinkToFit="1"/>
    </xf>
    <xf numFmtId="0" fontId="1" fillId="13" borderId="24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4" fillId="14" borderId="19" xfId="0" applyFont="1" applyFill="1" applyBorder="1" applyAlignment="1" applyProtection="1"/>
    <xf numFmtId="0" fontId="4" fillId="16" borderId="33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4" fillId="16" borderId="30" xfId="0" applyFont="1" applyFill="1" applyBorder="1" applyAlignment="1">
      <alignment horizontal="center" vertical="center"/>
    </xf>
    <xf numFmtId="0" fontId="4" fillId="16" borderId="34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4" fillId="16" borderId="3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7" fillId="3" borderId="19" xfId="0" applyNumberFormat="1" applyFont="1" applyFill="1" applyBorder="1" applyAlignment="1">
      <alignment horizontal="right" vertical="center"/>
    </xf>
    <xf numFmtId="165" fontId="7" fillId="3" borderId="20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right" shrinkToFit="1"/>
    </xf>
    <xf numFmtId="3" fontId="1" fillId="2" borderId="12" xfId="0" applyNumberFormat="1" applyFont="1" applyFill="1" applyBorder="1" applyAlignment="1">
      <alignment horizontal="right" shrinkToFit="1"/>
    </xf>
    <xf numFmtId="3" fontId="1" fillId="2" borderId="9" xfId="0" applyNumberFormat="1" applyFont="1" applyFill="1" applyBorder="1" applyAlignment="1">
      <alignment horizontal="right" shrinkToFit="1"/>
    </xf>
    <xf numFmtId="0" fontId="4" fillId="4" borderId="19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wrapText="1"/>
    </xf>
    <xf numFmtId="0" fontId="4" fillId="16" borderId="30" xfId="0" applyFont="1" applyFill="1" applyBorder="1" applyAlignment="1">
      <alignment horizontal="center" wrapText="1"/>
    </xf>
    <xf numFmtId="0" fontId="4" fillId="16" borderId="20" xfId="0" applyFont="1" applyFill="1" applyBorder="1" applyAlignment="1">
      <alignment horizontal="center" wrapText="1"/>
    </xf>
    <xf numFmtId="0" fontId="4" fillId="16" borderId="31" xfId="0" applyFont="1" applyFill="1" applyBorder="1" applyAlignment="1">
      <alignment horizontal="center" wrapText="1"/>
    </xf>
    <xf numFmtId="165" fontId="1" fillId="3" borderId="13" xfId="0" applyNumberFormat="1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7" fillId="3" borderId="19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right" vertical="center"/>
    </xf>
    <xf numFmtId="165" fontId="1" fillId="3" borderId="32" xfId="0" applyNumberFormat="1" applyFont="1" applyFill="1" applyBorder="1" applyAlignment="1">
      <alignment horizontal="left"/>
    </xf>
    <xf numFmtId="0" fontId="1" fillId="3" borderId="20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4" fillId="5" borderId="20" xfId="0" applyFont="1" applyFill="1" applyBorder="1" applyAlignment="1">
      <alignment horizontal="center"/>
    </xf>
    <xf numFmtId="0" fontId="4" fillId="16" borderId="35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center" vertical="center" wrapText="1"/>
    </xf>
    <xf numFmtId="0" fontId="4" fillId="16" borderId="36" xfId="0" applyFont="1" applyFill="1" applyBorder="1" applyAlignment="1">
      <alignment horizontal="center" vertical="center" wrapText="1"/>
    </xf>
    <xf numFmtId="165" fontId="7" fillId="3" borderId="19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3" fontId="1" fillId="2" borderId="15" xfId="0" applyNumberFormat="1" applyFont="1" applyFill="1" applyBorder="1" applyAlignment="1">
      <alignment horizontal="right" shrinkToFit="1"/>
    </xf>
    <xf numFmtId="3" fontId="1" fillId="2" borderId="38" xfId="0" applyNumberFormat="1" applyFont="1" applyFill="1" applyBorder="1" applyAlignment="1">
      <alignment horizontal="right" shrinkToFit="1"/>
    </xf>
    <xf numFmtId="3" fontId="1" fillId="2" borderId="14" xfId="0" applyNumberFormat="1" applyFont="1" applyFill="1" applyBorder="1" applyAlignment="1">
      <alignment horizontal="right" shrinkToFit="1"/>
    </xf>
  </cellXfs>
  <cellStyles count="1">
    <cellStyle name="Normal" xfId="0" builtinId="0"/>
  </cellStyles>
  <dxfs count="52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BF4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SA3??12</stp>
        <stp>Vol</stp>
        <stp>VolType=Exchange,CoCType=Contract</stp>
        <stp>Vol</stp>
        <stp>5</stp>
        <stp>0</stp>
        <stp>ALL</stp>
        <stp/>
        <stp/>
        <stp>TRUE</stp>
        <stp>T</stp>
        <tr r="Z19" s="1"/>
      </tp>
      <tp t="s">
        <v/>
        <stp/>
        <stp>StudyData</stp>
        <stp>SA3??13</stp>
        <stp>Vol</stp>
        <stp>VolType=Exchange,CoCType=Contract</stp>
        <stp>Vol</stp>
        <stp>5</stp>
        <stp>0</stp>
        <stp>ALL</stp>
        <stp/>
        <stp/>
        <stp>TRUE</stp>
        <stp>T</stp>
        <tr r="Z21" s="1"/>
      </tp>
      <tp t="s">
        <v/>
        <stp/>
        <stp>StudyData</stp>
        <stp>SA3??10</stp>
        <stp>Vol</stp>
        <stp>VolType=Exchange,CoCType=Contract</stp>
        <stp>Vol</stp>
        <stp>5</stp>
        <stp>0</stp>
        <stp>ALL</stp>
        <stp/>
        <stp/>
        <stp>TRUE</stp>
        <stp>T</stp>
        <tr r="Z17" s="1"/>
      </tp>
      <tp t="s">
        <v/>
        <stp/>
        <stp>StudyData</stp>
        <stp>SA3??11</stp>
        <stp>Vol</stp>
        <stp>VolType=Exchange,CoCType=Contract</stp>
        <stp>Vol</stp>
        <stp>5</stp>
        <stp>0</stp>
        <stp>ALL</stp>
        <stp/>
        <stp/>
        <stp>TRUE</stp>
        <stp>T</stp>
        <tr r="Z18" s="1"/>
      </tp>
      <tp t="s">
        <v/>
        <stp/>
        <stp>StudyData</stp>
        <stp>SA3??16</stp>
        <stp>Vol</stp>
        <stp>VolType=Exchange,CoCType=Contract</stp>
        <stp>Vol</stp>
        <stp>5</stp>
        <stp>0</stp>
        <stp>ALL</stp>
        <stp/>
        <stp/>
        <stp>TRUE</stp>
        <stp>T</stp>
        <tr r="Z24" s="1"/>
      </tp>
      <tp t="s">
        <v/>
        <stp/>
        <stp>StudyData</stp>
        <stp>SA3??14</stp>
        <stp>Vol</stp>
        <stp>VolType=Exchange,CoCType=Contract</stp>
        <stp>Vol</stp>
        <stp>5</stp>
        <stp>0</stp>
        <stp>ALL</stp>
        <stp/>
        <stp/>
        <stp>TRUE</stp>
        <stp>T</stp>
        <tr r="Z22" s="1"/>
      </tp>
      <tp t="s">
        <v/>
        <stp/>
        <stp>StudyData</stp>
        <stp>SA3??15</stp>
        <stp>Vol</stp>
        <stp>VolType=Exchange,CoCType=Contract</stp>
        <stp>Vol</stp>
        <stp>5</stp>
        <stp>0</stp>
        <stp>ALL</stp>
        <stp/>
        <stp/>
        <stp>TRUE</stp>
        <stp>T</stp>
        <tr r="Z23" s="1"/>
      </tp>
      <tp>
        <v>8555</v>
        <stp/>
        <stp>ContractData</stp>
        <stp>SA3??8</stp>
        <stp>COI</stp>
        <tr r="U14" s="1"/>
      </tp>
      <tp>
        <v>4567</v>
        <stp/>
        <stp>ContractData</stp>
        <stp>SA3??9</stp>
        <stp>COI</stp>
        <tr r="U16" s="1"/>
      </tp>
      <tp>
        <v>71623</v>
        <stp/>
        <stp>ContractData</stp>
        <stp>SA3??1</stp>
        <stp>COI</stp>
        <tr r="U6" s="1"/>
      </tp>
      <tp>
        <v>45202</v>
        <stp/>
        <stp>ContractData</stp>
        <stp>SA3??2</stp>
        <stp>COI</stp>
        <tr r="U7" s="1"/>
      </tp>
      <tp>
        <v>16536</v>
        <stp/>
        <stp>ContractData</stp>
        <stp>SA3??3</stp>
        <stp>COI</stp>
        <tr r="U8" s="1"/>
      </tp>
      <tp>
        <v>12606</v>
        <stp/>
        <stp>ContractData</stp>
        <stp>SA3??4</stp>
        <stp>COI</stp>
        <tr r="U9" s="1"/>
      </tp>
      <tp>
        <v>19580</v>
        <stp/>
        <stp>ContractData</stp>
        <stp>SA3??5</stp>
        <stp>COI</stp>
        <tr r="U11" s="1"/>
      </tp>
      <tp>
        <v>15978</v>
        <stp/>
        <stp>ContractData</stp>
        <stp>SA3??6</stp>
        <stp>COI</stp>
        <tr r="U12" s="1"/>
      </tp>
      <tp>
        <v>14075</v>
        <stp/>
        <stp>ContractData</stp>
        <stp>SA3??7</stp>
        <stp>COI</stp>
        <tr r="U13" s="1"/>
      </tp>
      <tp>
        <v>2756.6</v>
        <stp/>
        <stp>StudyData</stp>
        <stp>SA3??7</stp>
        <stp>MA</stp>
        <stp>InputChoice=ContractVol,MAType=Sim,Period=10</stp>
        <stp>MA</stp>
        <stp/>
        <stp/>
        <stp>all</stp>
        <stp/>
        <stp/>
        <stp/>
        <stp>T</stp>
        <tr r="L13" s="1"/>
      </tp>
      <tp>
        <v>1517.4</v>
        <stp/>
        <stp>StudyData</stp>
        <stp>SA3??6</stp>
        <stp>MA</stp>
        <stp>InputChoice=ContractVol,MAType=Sim,Period=10</stp>
        <stp>MA</stp>
        <stp/>
        <stp/>
        <stp>all</stp>
        <stp/>
        <stp/>
        <stp/>
        <stp>T</stp>
        <tr r="L12" s="1"/>
      </tp>
      <tp>
        <v>1514.7</v>
        <stp/>
        <stp>StudyData</stp>
        <stp>SA3??5</stp>
        <stp>MA</stp>
        <stp>InputChoice=ContractVol,MAType=Sim,Period=10</stp>
        <stp>MA</stp>
        <stp/>
        <stp/>
        <stp>all</stp>
        <stp/>
        <stp/>
        <stp/>
        <stp>T</stp>
        <tr r="L11" s="1"/>
      </tp>
      <tp t="s">
        <v>Three Month SARON, Jun 26</v>
        <stp/>
        <stp>ContractData</stp>
        <stp>SA3??14</stp>
        <stp>LongDescription</stp>
        <tr r="B22" s="1"/>
      </tp>
      <tp t="s">
        <v>Three Month SARON, Sep 26</v>
        <stp/>
        <stp>ContractData</stp>
        <stp>SA3??15</stp>
        <stp>LongDescription</stp>
        <tr r="B23" s="1"/>
      </tp>
      <tp t="s">
        <v>Three Month SARON, Dec 26</v>
        <stp/>
        <stp>ContractData</stp>
        <stp>SA3??16</stp>
        <stp>LongDescription</stp>
        <tr r="B24" s="1"/>
      </tp>
      <tp t="s">
        <v>Three Month SARON, Jun 25</v>
        <stp/>
        <stp>ContractData</stp>
        <stp>SA3??10</stp>
        <stp>LongDescription</stp>
        <tr r="B17" s="1"/>
      </tp>
      <tp t="s">
        <v>Three Month SARON, Sep 25</v>
        <stp/>
        <stp>ContractData</stp>
        <stp>SA3??11</stp>
        <stp>LongDescription</stp>
        <tr r="B18" s="1"/>
      </tp>
      <tp t="s">
        <v>Three Month SARON, Dec 25</v>
        <stp/>
        <stp>ContractData</stp>
        <stp>SA3??12</stp>
        <stp>LongDescription</stp>
        <tr r="B19" s="1"/>
      </tp>
      <tp t="s">
        <v>Three Month SARON, Mar 26</v>
        <stp/>
        <stp>ContractData</stp>
        <stp>SA3??13</stp>
        <stp>LongDescription</stp>
        <tr r="B21" s="1"/>
      </tp>
      <tp>
        <v>1857.3</v>
        <stp/>
        <stp>StudyData</stp>
        <stp>SA3??4</stp>
        <stp>MA</stp>
        <stp>InputChoice=ContractVol,MAType=Sim,Period=10</stp>
        <stp>MA</stp>
        <stp/>
        <stp/>
        <stp>all</stp>
        <stp/>
        <stp/>
        <stp/>
        <stp>T</stp>
        <tr r="L9" s="1"/>
      </tp>
      <tp>
        <v>4443.1000000000004</v>
        <stp/>
        <stp>StudyData</stp>
        <stp>SA3??3</stp>
        <stp>MA</stp>
        <stp>InputChoice=ContractVol,MAType=Sim,Period=10</stp>
        <stp>MA</stp>
        <stp/>
        <stp/>
        <stp>all</stp>
        <stp/>
        <stp/>
        <stp/>
        <stp>T</stp>
        <tr r="L8" s="1"/>
      </tp>
      <tp>
        <v>4390.8</v>
        <stp/>
        <stp>StudyData</stp>
        <stp>SA3??2</stp>
        <stp>MA</stp>
        <stp>InputChoice=ContractVol,MAType=Sim,Period=10</stp>
        <stp>MA</stp>
        <stp/>
        <stp/>
        <stp>all</stp>
        <stp/>
        <stp/>
        <stp/>
        <stp>T</stp>
        <tr r="L7" s="1"/>
      </tp>
      <tp>
        <v>2706.1</v>
        <stp/>
        <stp>StudyData</stp>
        <stp>SA3??1</stp>
        <stp>MA</stp>
        <stp>InputChoice=ContractVol,MAType=Sim,Period=10</stp>
        <stp>MA</stp>
        <stp/>
        <stp/>
        <stp>all</stp>
        <stp/>
        <stp/>
        <stp/>
        <stp>T</stp>
        <tr r="L6" s="1"/>
      </tp>
      <tp>
        <v>0</v>
        <stp/>
        <stp>ContractData</stp>
        <stp>SA3??14</stp>
        <stp>Y_CVol</stp>
        <tr r="N22" s="1"/>
      </tp>
      <tp>
        <v>0</v>
        <stp/>
        <stp>ContractData</stp>
        <stp>SA3??15</stp>
        <stp>Y_CVol</stp>
        <tr r="N23" s="1"/>
      </tp>
      <tp>
        <v>0</v>
        <stp/>
        <stp>ContractData</stp>
        <stp>SA3??16</stp>
        <stp>Y_CVol</stp>
        <tr r="N24" s="1"/>
      </tp>
      <tp>
        <v>73</v>
        <stp/>
        <stp>ContractData</stp>
        <stp>SA3??10</stp>
        <stp>Y_CVol</stp>
        <tr r="N17" s="1"/>
      </tp>
      <tp>
        <v>0</v>
        <stp/>
        <stp>ContractData</stp>
        <stp>SA3??11</stp>
        <stp>Y_CVol</stp>
        <tr r="N18" s="1"/>
      </tp>
      <tp>
        <v>0</v>
        <stp/>
        <stp>ContractData</stp>
        <stp>SA3??12</stp>
        <stp>Y_CVol</stp>
        <tr r="N19" s="1"/>
      </tp>
      <tp>
        <v>0</v>
        <stp/>
        <stp>ContractData</stp>
        <stp>SA3??13</stp>
        <stp>Y_CVol</stp>
        <tr r="N21" s="1"/>
      </tp>
      <tp>
        <v>0</v>
        <stp/>
        <stp>ContractData</stp>
        <stp>SA3??14</stp>
        <stp>T_CVol</stp>
        <tr r="K22" s="1"/>
      </tp>
      <tp>
        <v>0</v>
        <stp/>
        <stp>ContractData</stp>
        <stp>SA3??15</stp>
        <stp>T_CVol</stp>
        <tr r="K23" s="1"/>
      </tp>
      <tp>
        <v>0</v>
        <stp/>
        <stp>ContractData</stp>
        <stp>SA3??16</stp>
        <stp>T_CVol</stp>
        <tr r="K24" s="1"/>
      </tp>
      <tp>
        <v>0</v>
        <stp/>
        <stp>ContractData</stp>
        <stp>SA3??10</stp>
        <stp>T_CVol</stp>
        <tr r="K17" s="1"/>
      </tp>
      <tp>
        <v>0</v>
        <stp/>
        <stp>ContractData</stp>
        <stp>SA3??11</stp>
        <stp>T_CVol</stp>
        <tr r="K18" s="1"/>
      </tp>
      <tp>
        <v>0</v>
        <stp/>
        <stp>ContractData</stp>
        <stp>SA3??12</stp>
        <stp>T_CVol</stp>
        <tr r="K19" s="1"/>
      </tp>
      <tp>
        <v>0</v>
        <stp/>
        <stp>ContractData</stp>
        <stp>SA3??13</stp>
        <stp>T_CVol</stp>
        <tr r="K21" s="1"/>
      </tp>
      <tp>
        <v>305.89999999999998</v>
        <stp/>
        <stp>StudyData</stp>
        <stp>SA3??9</stp>
        <stp>MA</stp>
        <stp>InputChoice=ContractVol,MAType=Sim,Period=10</stp>
        <stp>MA</stp>
        <stp/>
        <stp/>
        <stp>all</stp>
        <stp/>
        <stp/>
        <stp/>
        <stp>T</stp>
        <tr r="L16" s="1"/>
      </tp>
      <tp>
        <v>2194</v>
        <stp/>
        <stp>ContractData</stp>
        <stp>SA3??2</stp>
        <stp>T_CVol</stp>
        <tr r="K7" s="1"/>
      </tp>
      <tp>
        <v>1747</v>
        <stp/>
        <stp>ContractData</stp>
        <stp>SA3??3</stp>
        <stp>T_CVol</stp>
        <tr r="K8" s="1"/>
      </tp>
      <tp>
        <v>4725</v>
        <stp/>
        <stp>ContractData</stp>
        <stp>SA3??1</stp>
        <stp>T_CVol</stp>
        <tr r="K6" s="1"/>
      </tp>
      <tp>
        <v>799</v>
        <stp/>
        <stp>ContractData</stp>
        <stp>SA3??6</stp>
        <stp>T_CVol</stp>
        <tr r="K12" s="1"/>
      </tp>
      <tp>
        <v>1089</v>
        <stp/>
        <stp>ContractData</stp>
        <stp>SA3??7</stp>
        <stp>T_CVol</stp>
        <tr r="K13" s="1"/>
      </tp>
      <tp>
        <v>1204</v>
        <stp/>
        <stp>ContractData</stp>
        <stp>SA3??4</stp>
        <stp>T_CVol</stp>
        <tr r="K9" s="1"/>
      </tp>
      <tp>
        <v>720</v>
        <stp/>
        <stp>ContractData</stp>
        <stp>SA3??5</stp>
        <stp>T_CVol</stp>
        <tr r="K11" s="1"/>
      </tp>
      <tp>
        <v>663</v>
        <stp/>
        <stp>ContractData</stp>
        <stp>SA3??8</stp>
        <stp>T_CVol</stp>
        <tr r="K14" s="1"/>
      </tp>
      <tp>
        <v>101</v>
        <stp/>
        <stp>ContractData</stp>
        <stp>SA3??9</stp>
        <stp>T_CVol</stp>
        <tr r="K16" s="1"/>
      </tp>
      <tp>
        <v>1095.4000000000001</v>
        <stp/>
        <stp>StudyData</stp>
        <stp>SA3??8</stp>
        <stp>MA</stp>
        <stp>InputChoice=ContractVol,MAType=Sim,Period=10</stp>
        <stp>MA</stp>
        <stp/>
        <stp/>
        <stp>all</stp>
        <stp/>
        <stp/>
        <stp/>
        <stp>T</stp>
        <tr r="L14" s="1"/>
      </tp>
      <tp>
        <v>3024</v>
        <stp/>
        <stp>ContractData</stp>
        <stp>SA3??2</stp>
        <stp>Y_CVol</stp>
        <tr r="N7" s="1"/>
      </tp>
      <tp>
        <v>2723</v>
        <stp/>
        <stp>ContractData</stp>
        <stp>SA3??3</stp>
        <stp>Y_CVol</stp>
        <tr r="N8" s="1"/>
      </tp>
      <tp>
        <v>3768</v>
        <stp/>
        <stp>ContractData</stp>
        <stp>SA3??1</stp>
        <stp>Y_CVol</stp>
        <tr r="N6" s="1"/>
      </tp>
      <tp>
        <v>1305</v>
        <stp/>
        <stp>ContractData</stp>
        <stp>SA3??6</stp>
        <stp>Y_CVol</stp>
        <tr r="N12" s="1"/>
      </tp>
      <tp>
        <v>1383</v>
        <stp/>
        <stp>ContractData</stp>
        <stp>SA3??7</stp>
        <stp>Y_CVol</stp>
        <tr r="N13" s="1"/>
      </tp>
      <tp>
        <v>1685</v>
        <stp/>
        <stp>ContractData</stp>
        <stp>SA3??4</stp>
        <stp>Y_CVol</stp>
        <tr r="N9" s="1"/>
      </tp>
      <tp>
        <v>1060</v>
        <stp/>
        <stp>ContractData</stp>
        <stp>SA3??5</stp>
        <stp>Y_CVol</stp>
        <tr r="N11" s="1"/>
      </tp>
      <tp>
        <v>500</v>
        <stp/>
        <stp>ContractData</stp>
        <stp>SA3??8</stp>
        <stp>Y_CVol</stp>
        <tr r="N14" s="1"/>
      </tp>
      <tp>
        <v>112</v>
        <stp/>
        <stp>ContractData</stp>
        <stp>SA3??9</stp>
        <stp>Y_CVol</stp>
        <tr r="N16" s="1"/>
      </tp>
      <tp t="s">
        <v/>
        <stp/>
        <stp>StudyData</stp>
        <stp>SA3??13</stp>
        <stp>MA</stp>
        <stp>InputChoice=ContractVol,MAType=Sim,Period=10</stp>
        <stp>MA</stp>
        <stp/>
        <stp/>
        <stp>all</stp>
        <stp/>
        <stp/>
        <stp/>
        <stp>T</stp>
        <tr r="L21" s="1"/>
      </tp>
      <tp t="s">
        <v/>
        <stp/>
        <stp>StudyData</stp>
        <stp>SA3??12</stp>
        <stp>MA</stp>
        <stp>InputChoice=ContractVol,MAType=Sim,Period=10</stp>
        <stp>MA</stp>
        <stp/>
        <stp/>
        <stp>all</stp>
        <stp/>
        <stp/>
        <stp/>
        <stp>T</stp>
        <tr r="L19" s="1"/>
      </tp>
      <tp>
        <v>2</v>
        <stp/>
        <stp>StudyData</stp>
        <stp>SA3??11</stp>
        <stp>MA</stp>
        <stp>InputChoice=ContractVol,MAType=Sim,Period=10</stp>
        <stp>MA</stp>
        <stp/>
        <stp/>
        <stp>all</stp>
        <stp/>
        <stp/>
        <stp/>
        <stp>T</stp>
        <tr r="L18" s="1"/>
      </tp>
      <tp>
        <v>19.399999999999999</v>
        <stp/>
        <stp>StudyData</stp>
        <stp>SA3??10</stp>
        <stp>MA</stp>
        <stp>InputChoice=ContractVol,MAType=Sim,Period=10</stp>
        <stp>MA</stp>
        <stp/>
        <stp/>
        <stp>all</stp>
        <stp/>
        <stp/>
        <stp/>
        <stp>T</stp>
        <tr r="L17" s="1"/>
      </tp>
      <tp t="s">
        <v/>
        <stp/>
        <stp>StudyData</stp>
        <stp>SA3??16</stp>
        <stp>MA</stp>
        <stp>InputChoice=ContractVol,MAType=Sim,Period=10</stp>
        <stp>MA</stp>
        <stp/>
        <stp/>
        <stp>all</stp>
        <stp/>
        <stp/>
        <stp/>
        <stp>T</stp>
        <tr r="L24" s="1"/>
      </tp>
      <tp t="s">
        <v/>
        <stp/>
        <stp>StudyData</stp>
        <stp>SA3??15</stp>
        <stp>MA</stp>
        <stp>InputChoice=ContractVol,MAType=Sim,Period=10</stp>
        <stp>MA</stp>
        <stp/>
        <stp/>
        <stp>all</stp>
        <stp/>
        <stp/>
        <stp/>
        <stp>T</stp>
        <tr r="L23" s="1"/>
      </tp>
      <tp t="s">
        <v/>
        <stp/>
        <stp>StudyData</stp>
        <stp>SA3??14</stp>
        <stp>MA</stp>
        <stp>InputChoice=ContractVol,MAType=Sim,Period=10</stp>
        <stp>MA</stp>
        <stp/>
        <stp/>
        <stp>all</stp>
        <stp/>
        <stp/>
        <stp/>
        <stp>T</stp>
        <tr r="L22" s="1"/>
      </tp>
      <tp>
        <v>46462</v>
        <stp/>
        <stp>ContractData</stp>
        <stp>SA3??16</stp>
        <stp>ExpirationDate</stp>
        <stp/>
        <stp>D</stp>
        <tr r="F24" s="1"/>
      </tp>
      <tp>
        <v>46371</v>
        <stp/>
        <stp>ContractData</stp>
        <stp>SA3??15</stp>
        <stp>ExpirationDate</stp>
        <stp/>
        <stp>D</stp>
        <tr r="F23" s="1"/>
      </tp>
      <tp>
        <v>46280</v>
        <stp/>
        <stp>ContractData</stp>
        <stp>SA3??14</stp>
        <stp>ExpirationDate</stp>
        <stp/>
        <stp>D</stp>
        <tr r="F22" s="1"/>
      </tp>
      <tp>
        <v>46189</v>
        <stp/>
        <stp>ContractData</stp>
        <stp>SA3??13</stp>
        <stp>ExpirationDate</stp>
        <stp/>
        <stp>D</stp>
        <tr r="F21" s="1"/>
      </tp>
      <tp>
        <v>46098</v>
        <stp/>
        <stp>ContractData</stp>
        <stp>SA3??12</stp>
        <stp>ExpirationDate</stp>
        <stp/>
        <stp>D</stp>
        <tr r="F19" s="1"/>
      </tp>
      <tp>
        <v>46007</v>
        <stp/>
        <stp>ContractData</stp>
        <stp>SA3??11</stp>
        <stp>ExpirationDate</stp>
        <stp/>
        <stp>D</stp>
        <tr r="F18" s="1"/>
      </tp>
      <tp>
        <v>45916</v>
        <stp/>
        <stp>ContractData</stp>
        <stp>SA3??10</stp>
        <stp>ExpirationDate</stp>
        <stp/>
        <stp>D</stp>
        <tr r="F17" s="1"/>
      </tp>
      <tp t="s">
        <v>JUN</v>
        <stp/>
        <stp>ContractData</stp>
        <stp>SA3??2</stp>
        <stp>Contractmonth</stp>
        <tr r="H7" s="1"/>
        <tr r="H7" s="1"/>
        <tr r="H7" s="1"/>
        <tr r="H7" s="1"/>
      </tp>
      <tp t="s">
        <v>SEP</v>
        <stp/>
        <stp>ContractData</stp>
        <stp>SA3??3</stp>
        <stp>Contractmonth</stp>
        <tr r="H8" s="1"/>
        <tr r="H8" s="1"/>
        <tr r="H8" s="1"/>
        <tr r="H8" s="1"/>
      </tp>
      <tp t="s">
        <v>MAR</v>
        <stp/>
        <stp>ContractData</stp>
        <stp>SA3??1</stp>
        <stp>Contractmonth</stp>
        <tr r="H6" s="1"/>
        <tr r="H6" s="1"/>
        <tr r="H6" s="1"/>
        <tr r="H6" s="1"/>
      </tp>
      <tp>
        <v>0</v>
        <stp/>
        <stp>ContractData</stp>
        <stp>SA3??16</stp>
        <stp>COI</stp>
        <tr r="U24" s="1"/>
      </tp>
      <tp>
        <v>0</v>
        <stp/>
        <stp>ContractData</stp>
        <stp>SA3??14</stp>
        <stp>COI</stp>
        <tr r="U22" s="1"/>
      </tp>
      <tp>
        <v>0</v>
        <stp/>
        <stp>ContractData</stp>
        <stp>SA3??15</stp>
        <stp>COI</stp>
        <tr r="U23" s="1"/>
      </tp>
      <tp>
        <v>0</v>
        <stp/>
        <stp>ContractData</stp>
        <stp>SA3??12</stp>
        <stp>COI</stp>
        <tr r="U19" s="1"/>
      </tp>
      <tp>
        <v>0</v>
        <stp/>
        <stp>ContractData</stp>
        <stp>SA3??13</stp>
        <stp>COI</stp>
        <tr r="U21" s="1"/>
      </tp>
      <tp>
        <v>333</v>
        <stp/>
        <stp>ContractData</stp>
        <stp>SA3??10</stp>
        <stp>COI</stp>
        <tr r="U17" s="1"/>
      </tp>
      <tp>
        <v>2</v>
        <stp/>
        <stp>ContractData</stp>
        <stp>SA3??11</stp>
        <stp>COI</stp>
        <tr r="U18" s="1"/>
      </tp>
      <tp t="s">
        <v>JUN</v>
        <stp/>
        <stp>ContractData</stp>
        <stp>SA3??6</stp>
        <stp>Contractmonth</stp>
        <tr r="H12" s="1"/>
        <tr r="H12" s="1"/>
        <tr r="H12" s="1"/>
        <tr r="H12" s="1"/>
      </tp>
      <tp t="s">
        <v>SEP</v>
        <stp/>
        <stp>ContractData</stp>
        <stp>SA3??7</stp>
        <stp>Contractmonth</stp>
        <tr r="H13" s="1"/>
        <tr r="H13" s="1"/>
        <tr r="H13" s="1"/>
        <tr r="H13" s="1"/>
      </tp>
      <tp t="s">
        <v>DEC</v>
        <stp/>
        <stp>ContractData</stp>
        <stp>SA3??4</stp>
        <stp>Contractmonth</stp>
        <tr r="H9" s="1"/>
        <tr r="H9" s="1"/>
        <tr r="H9" s="1"/>
        <tr r="H9" s="1"/>
      </tp>
      <tp t="s">
        <v>MAR</v>
        <stp/>
        <stp>ContractData</stp>
        <stp>SA3??5</stp>
        <stp>Contractmonth</stp>
        <tr r="H11" s="1"/>
        <tr r="H11" s="1"/>
        <tr r="H11" s="1"/>
        <tr r="H11" s="1"/>
      </tp>
      <tp>
        <v>9</v>
        <stp/>
        <stp>StudyData</stp>
        <stp>Vol(SA3??10) when (LocalDay(SA3??10)=23 and LocalHour(SA3??10)=8 and LocalMinute(SA3??10)=55)</stp>
        <stp>Bar</stp>
        <stp/>
        <stp>Vol</stp>
        <stp>5</stp>
        <stp>0</stp>
        <tr r="AA17" s="1"/>
      </tp>
      <tp>
        <v>0</v>
        <stp/>
        <stp>StudyData</stp>
        <stp>Vol(SA3??11) when (LocalDay(SA3??11)=23 and LocalHour(SA3??11)=8 and LocalMinute(SA3??11)=55)</stp>
        <stp>Bar</stp>
        <stp/>
        <stp>Vol</stp>
        <stp>5</stp>
        <stp>0</stp>
        <tr r="AA18" s="1"/>
      </tp>
      <tp>
        <v>0</v>
        <stp/>
        <stp>StudyData</stp>
        <stp>Vol(SA3??12) when (LocalDay(SA3??12)=23 and LocalHour(SA3??12)=8 and LocalMinute(SA3??12)=55)</stp>
        <stp>Bar</stp>
        <stp/>
        <stp>Vol</stp>
        <stp>5</stp>
        <stp>0</stp>
        <tr r="AA19" s="1"/>
      </tp>
      <tp t="s">
        <v>DEC</v>
        <stp/>
        <stp>ContractData</stp>
        <stp>SA3??8</stp>
        <stp>Contractmonth</stp>
        <tr r="H14" s="1"/>
        <tr r="H14" s="1"/>
        <tr r="H14" s="1"/>
        <tr r="H14" s="1"/>
      </tp>
      <tp>
        <v>0</v>
        <stp/>
        <stp>StudyData</stp>
        <stp>Vol(SA3??13) when (LocalDay(SA3??13)=23 and LocalHour(SA3??13)=8 and LocalMinute(SA3??13)=55)</stp>
        <stp>Bar</stp>
        <stp/>
        <stp>Vol</stp>
        <stp>5</stp>
        <stp>0</stp>
        <tr r="AA21" s="1"/>
      </tp>
      <tp>
        <v>0</v>
        <stp/>
        <stp>StudyData</stp>
        <stp>Vol(SA3??14) when (LocalDay(SA3??14)=23 and LocalHour(SA3??14)=8 and LocalMinute(SA3??14)=55)</stp>
        <stp>Bar</stp>
        <stp/>
        <stp>Vol</stp>
        <stp>5</stp>
        <stp>0</stp>
        <tr r="AA22" s="1"/>
      </tp>
      <tp>
        <v>0</v>
        <stp/>
        <stp>StudyData</stp>
        <stp>Vol(SA3??15) when (LocalDay(SA3??15)=23 and LocalHour(SA3??15)=8 and LocalMinute(SA3??15)=55)</stp>
        <stp>Bar</stp>
        <stp/>
        <stp>Vol</stp>
        <stp>5</stp>
        <stp>0</stp>
        <tr r="AA23" s="1"/>
      </tp>
      <tp>
        <v>0</v>
        <stp/>
        <stp>StudyData</stp>
        <stp>Vol(SA3??16) when (LocalDay(SA3??16)=23 and LocalHour(SA3??16)=8 and LocalMinute(SA3??16)=55)</stp>
        <stp>Bar</stp>
        <stp/>
        <stp>Vol</stp>
        <stp>5</stp>
        <stp>0</stp>
        <tr r="AA24" s="1"/>
      </tp>
      <tp>
        <v>1557</v>
        <stp/>
        <stp>StudyData</stp>
        <stp>(MA(SA3??1,Period:=10,MAType:=Sim,InputChoice:=ContractVol) when LocalYear(SA3??1)=2023 And (LocalMonth(SA3??1)=5 And LocalDay(SA3??1)=12 ))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4528</v>
        <stp/>
        <stp>StudyData</stp>
        <stp>(MA(SA3??2,Period:=10,MAType:=Sim,InputChoice:=ContractVol) when LocalYear(SA3??2)=2023 And (LocalMonth(SA3??2)=5 And LocalDay(SA3??2)=12 ))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4939</v>
        <stp/>
        <stp>StudyData</stp>
        <stp>(MA(SA3??3,Period:=10,MAType:=Sim,InputChoice:=ContractVol) when LocalYear(SA3??3)=2023 And (LocalMonth(SA3??3)=5 And LocalDay(SA3??3)=12 ))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2550</v>
        <stp/>
        <stp>StudyData</stp>
        <stp>(MA(SA3??4,Period:=10,MAType:=Sim,InputChoice:=ContractVol) when LocalYear(SA3??4)=2023 And (LocalMonth(SA3??4)=5 And LocalDay(SA3??4)=12 ))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1634</v>
        <stp/>
        <stp>StudyData</stp>
        <stp>(MA(SA3??5,Period:=10,MAType:=Sim,InputChoice:=ContractVol) when LocalYear(SA3??5)=2023 And (LocalMonth(SA3??5)=5 And LocalDay(SA3??5)=12 ))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2021</v>
        <stp/>
        <stp>StudyData</stp>
        <stp>(MA(SA3??6,Period:=10,MAType:=Sim,InputChoice:=ContractVol) when LocalYear(SA3??6)=2023 And (LocalMonth(SA3??6)=5 And LocalDay(SA3??6)=12 ))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2867</v>
        <stp/>
        <stp>StudyData</stp>
        <stp>(MA(SA3??7,Period:=10,MAType:=Sim,InputChoice:=ContractVol) when LocalYear(SA3??7)=2023 And (LocalMonth(SA3??7)=5 And LocalDay(SA3??7)=12 ))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1216</v>
        <stp/>
        <stp>StudyData</stp>
        <stp>(MA(SA3??8,Period:=10,MAType:=Sim,InputChoice:=ContractVol) when LocalYear(SA3??8)=2023 And (LocalMonth(SA3??8)=5 And LocalDay(SA3??8)=12 ))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218</v>
        <stp/>
        <stp>StudyData</stp>
        <stp>(MA(SA3??9,Period:=10,MAType:=Sim,InputChoice:=ContractVol) when LocalYear(SA3??9)=2023 And (LocalMonth(SA3??9)=5 And LocalDay(SA3??9)=12 ))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9</v>
        <stp/>
        <stp>StudyData</stp>
        <stp>Vol(SA3??9) when (LocalDay(SA3??9)=23 and LocalHour(SA3??9)=8 and LocalMinute(SA3??9)=55)</stp>
        <stp>Bar</stp>
        <stp/>
        <stp>Vol</stp>
        <stp>5</stp>
        <stp>0</stp>
        <tr r="AA16" s="1"/>
      </tp>
      <tp>
        <v>3</v>
        <stp/>
        <stp>StudyData</stp>
        <stp>Vol(SA3??8) when (LocalDay(SA3??8)=23 and LocalHour(SA3??8)=8 and LocalMinute(SA3??8)=55)</stp>
        <stp>Bar</stp>
        <stp/>
        <stp>Vol</stp>
        <stp>5</stp>
        <stp>0</stp>
        <tr r="AA14" s="1"/>
      </tp>
      <tp>
        <v>45070.371875000004</v>
        <stp/>
        <stp>SystemInfo</stp>
        <stp>Linetime</stp>
        <tr r="AC50" s="1"/>
        <tr r="U26" s="1"/>
        <tr r="AA2" s="1"/>
        <tr r="E2" s="1"/>
        <tr r="Y26" s="1"/>
        <tr r="N26" s="1"/>
      </tp>
      <tp>
        <v>2</v>
        <stp/>
        <stp>StudyData</stp>
        <stp>Vol(SA3??3) when (LocalDay(SA3??3)=23 and LocalHour(SA3??3)=8 and LocalMinute(SA3??3)=55)</stp>
        <stp>Bar</stp>
        <stp/>
        <stp>Vol</stp>
        <stp>5</stp>
        <stp>0</stp>
        <tr r="AA8" s="1"/>
      </tp>
      <tp>
        <v>2</v>
        <stp/>
        <stp>StudyData</stp>
        <stp>Vol(SA3??2) when (LocalDay(SA3??2)=23 and LocalHour(SA3??2)=8 and LocalMinute(SA3??2)=55)</stp>
        <stp>Bar</stp>
        <stp/>
        <stp>Vol</stp>
        <stp>5</stp>
        <stp>0</stp>
        <tr r="AA7" s="1"/>
      </tp>
      <tp>
        <v>500</v>
        <stp/>
        <stp>StudyData</stp>
        <stp>Vol(SA3??1) when (LocalDay(SA3??1)=23 and LocalHour(SA3??1)=8 and LocalMinute(SA3??1)=55)</stp>
        <stp>Bar</stp>
        <stp/>
        <stp>Vol</stp>
        <stp>5</stp>
        <stp>0</stp>
        <tr r="AA6" s="1"/>
      </tp>
      <tp t="s">
        <v>Three Month SARON, Jun 23</v>
        <stp/>
        <stp>ContractData</stp>
        <stp>SA3??2</stp>
        <stp>LongDescription</stp>
        <tr r="B7" s="1"/>
      </tp>
      <tp t="s">
        <v>Three Month SARON, Sep 23</v>
        <stp/>
        <stp>ContractData</stp>
        <stp>SA3??3</stp>
        <stp>LongDescription</stp>
        <tr r="B8" s="1"/>
      </tp>
      <tp t="s">
        <v>Three Month SARON, Mar 23</v>
        <stp/>
        <stp>ContractData</stp>
        <stp>SA3??1</stp>
        <stp>LongDescription</stp>
        <tr r="B6" s="1"/>
      </tp>
      <tp t="s">
        <v>Three Month SARON, Jun 24</v>
        <stp/>
        <stp>ContractData</stp>
        <stp>SA3??6</stp>
        <stp>LongDescription</stp>
        <tr r="B12" s="1"/>
      </tp>
      <tp t="s">
        <v>Three Month SARON, Sep 24</v>
        <stp/>
        <stp>ContractData</stp>
        <stp>SA3??7</stp>
        <stp>LongDescription</stp>
        <tr r="B13" s="1"/>
      </tp>
      <tp t="s">
        <v>Three Month SARON, Dec 23</v>
        <stp/>
        <stp>ContractData</stp>
        <stp>SA3??4</stp>
        <stp>LongDescription</stp>
        <tr r="B9" s="1"/>
      </tp>
      <tp t="s">
        <v>Three Month SARON, Mar 24</v>
        <stp/>
        <stp>ContractData</stp>
        <stp>SA3??5</stp>
        <stp>LongDescription</stp>
        <tr r="B11" s="1"/>
      </tp>
      <tp t="s">
        <v>Three Month SARON, Dec 24</v>
        <stp/>
        <stp>ContractData</stp>
        <stp>SA3??8</stp>
        <stp>LongDescription</stp>
        <tr r="B14" s="1"/>
      </tp>
      <tp t="s">
        <v>Three Month SARON, Mar 25</v>
        <stp/>
        <stp>ContractData</stp>
        <stp>SA3??9</stp>
        <stp>LongDescription</stp>
        <tr r="B16" s="1"/>
      </tp>
      <tp>
        <v>1</v>
        <stp/>
        <stp>StudyData</stp>
        <stp>Vol(SA3??7) when (LocalDay(SA3??7)=23 and LocalHour(SA3??7)=8 and LocalMinute(SA3??7)=55)</stp>
        <stp>Bar</stp>
        <stp/>
        <stp>Vol</stp>
        <stp>5</stp>
        <stp>0</stp>
        <tr r="AA13" s="1"/>
      </tp>
      <tp>
        <v>20</v>
        <stp/>
        <stp>StudyData</stp>
        <stp>Vol(SA3??6) when (LocalDay(SA3??6)=23 and LocalHour(SA3??6)=8 and LocalMinute(SA3??6)=55)</stp>
        <stp>Bar</stp>
        <stp/>
        <stp>Vol</stp>
        <stp>5</stp>
        <stp>0</stp>
        <tr r="AA12" s="1"/>
      </tp>
      <tp>
        <v>5</v>
        <stp/>
        <stp>StudyData</stp>
        <stp>Vol(SA3??5) when (LocalDay(SA3??5)=23 and LocalHour(SA3??5)=8 and LocalMinute(SA3??5)=55)</stp>
        <stp>Bar</stp>
        <stp/>
        <stp>Vol</stp>
        <stp>5</stp>
        <stp>0</stp>
        <tr r="AA11" s="1"/>
      </tp>
      <tp>
        <v>10</v>
        <stp/>
        <stp>StudyData</stp>
        <stp>Vol(SA3??4) when (LocalDay(SA3??4)=23 and LocalHour(SA3??4)=8 and LocalMinute(SA3??4)=55)</stp>
        <stp>Bar</stp>
        <stp/>
        <stp>Vol</stp>
        <stp>5</stp>
        <stp>0</stp>
        <tr r="AA9" s="1"/>
      </tp>
      <tp>
        <v>8552</v>
        <stp/>
        <stp>ContractData</stp>
        <stp>SA3??8</stp>
        <stp>P_OI</stp>
        <tr r="X14" s="1"/>
      </tp>
      <tp>
        <v>4588</v>
        <stp/>
        <stp>ContractData</stp>
        <stp>SA3??9</stp>
        <stp>P_OI</stp>
        <tr r="X16" s="1"/>
      </tp>
      <tp>
        <v>16226</v>
        <stp/>
        <stp>ContractData</stp>
        <stp>SA3??6</stp>
        <stp>P_OI</stp>
        <tr r="X12" s="1"/>
      </tp>
      <tp>
        <v>13890</v>
        <stp/>
        <stp>ContractData</stp>
        <stp>SA3??7</stp>
        <stp>P_OI</stp>
        <tr r="X13" s="1"/>
      </tp>
      <tp>
        <v>12584</v>
        <stp/>
        <stp>ContractData</stp>
        <stp>SA3??4</stp>
        <stp>P_OI</stp>
        <tr r="X9" s="1"/>
      </tp>
      <tp>
        <v>19533</v>
        <stp/>
        <stp>ContractData</stp>
        <stp>SA3??5</stp>
        <stp>P_OI</stp>
        <tr r="X11" s="1"/>
      </tp>
      <tp>
        <v>45047</v>
        <stp/>
        <stp>ContractData</stp>
        <stp>SA3??2</stp>
        <stp>P_OI</stp>
        <tr r="X7" s="1"/>
      </tp>
      <tp>
        <v>16448</v>
        <stp/>
        <stp>ContractData</stp>
        <stp>SA3??3</stp>
        <stp>P_OI</stp>
        <tr r="X8" s="1"/>
      </tp>
      <tp>
        <v>71255</v>
        <stp/>
        <stp>ContractData</stp>
        <stp>SA3??1</stp>
        <stp>P_OI</stp>
        <tr r="X6" s="1"/>
      </tp>
      <tp>
        <v>45097</v>
        <stp/>
        <stp>ContractData</stp>
        <stp>SA3??1</stp>
        <stp>ExpirationDate</stp>
        <stp/>
        <stp>D</stp>
        <tr r="F6" s="1"/>
      </tp>
      <tp>
        <v>45279</v>
        <stp/>
        <stp>ContractData</stp>
        <stp>SA3??3</stp>
        <stp>ExpirationDate</stp>
        <stp/>
        <stp>D</stp>
        <tr r="F8" s="1"/>
      </tp>
      <tp>
        <v>45188</v>
        <stp/>
        <stp>ContractData</stp>
        <stp>SA3??2</stp>
        <stp>ExpirationDate</stp>
        <stp/>
        <stp>D</stp>
        <tr r="F7" s="1"/>
      </tp>
      <tp>
        <v>45461</v>
        <stp/>
        <stp>ContractData</stp>
        <stp>SA3??5</stp>
        <stp>ExpirationDate</stp>
        <stp/>
        <stp>D</stp>
        <tr r="F11" s="1"/>
      </tp>
      <tp>
        <v>45370</v>
        <stp/>
        <stp>ContractData</stp>
        <stp>SA3??4</stp>
        <stp>ExpirationDate</stp>
        <stp/>
        <stp>D</stp>
        <tr r="F9" s="1"/>
      </tp>
      <tp>
        <v>45643</v>
        <stp/>
        <stp>ContractData</stp>
        <stp>SA3??7</stp>
        <stp>ExpirationDate</stp>
        <stp/>
        <stp>D</stp>
        <tr r="F13" s="1"/>
      </tp>
      <tp>
        <v>45552</v>
        <stp/>
        <stp>ContractData</stp>
        <stp>SA3??6</stp>
        <stp>ExpirationDate</stp>
        <stp/>
        <stp>D</stp>
        <tr r="F12" s="1"/>
      </tp>
      <tp>
        <v>45825</v>
        <stp/>
        <stp>ContractData</stp>
        <stp>SA3??9</stp>
        <stp>ExpirationDate</stp>
        <stp/>
        <stp>D</stp>
        <tr r="F16" s="1"/>
      </tp>
      <tp>
        <v>45070.371527777781</v>
        <stp/>
        <stp>StudyData</stp>
        <stp>SA3??1</stp>
        <stp>Bar</stp>
        <stp/>
        <stp>Time</stp>
        <stp>5</stp>
        <stp/>
        <stp>all</stp>
        <stp/>
        <stp/>
        <stp>False</stp>
        <tr r="D1" s="1"/>
        <tr r="F1" s="1"/>
      </tp>
      <tp>
        <v>45734</v>
        <stp/>
        <stp>ContractData</stp>
        <stp>SA3??8</stp>
        <stp>ExpirationDate</stp>
        <stp/>
        <stp>D</stp>
        <tr r="F14" s="1"/>
      </tp>
      <tp t="s">
        <v/>
        <stp/>
        <stp>StudyData</stp>
        <stp>SA3??8</stp>
        <stp>Vol</stp>
        <stp>VolType=Exchange,CoCType=Contract</stp>
        <stp>Vol</stp>
        <stp>5</stp>
        <stp>0</stp>
        <stp>ALL</stp>
        <stp/>
        <stp/>
        <stp>TRUE</stp>
        <stp>T</stp>
        <tr r="Z14" s="1"/>
      </tp>
      <tp t="s">
        <v/>
        <stp/>
        <stp>StudyData</stp>
        <stp>SA3??9</stp>
        <stp>Vol</stp>
        <stp>VolType=Exchange,CoCType=Contract</stp>
        <stp>Vol</stp>
        <stp>5</stp>
        <stp>0</stp>
        <stp>ALL</stp>
        <stp/>
        <stp/>
        <stp>TRUE</stp>
        <stp>T</stp>
        <tr r="Z16" s="1"/>
      </tp>
      <tp t="s">
        <v/>
        <stp/>
        <stp>StudyData</stp>
        <stp>SA3??6</stp>
        <stp>Vol</stp>
        <stp>VolType=Exchange,CoCType=Contract</stp>
        <stp>Vol</stp>
        <stp>5</stp>
        <stp>0</stp>
        <stp>ALL</stp>
        <stp/>
        <stp/>
        <stp>TRUE</stp>
        <stp>T</stp>
        <tr r="Z12" s="1"/>
      </tp>
      <tp t="s">
        <v/>
        <stp/>
        <stp>StudyData</stp>
        <stp>SA3??7</stp>
        <stp>Vol</stp>
        <stp>VolType=Exchange,CoCType=Contract</stp>
        <stp>Vol</stp>
        <stp>5</stp>
        <stp>0</stp>
        <stp>ALL</stp>
        <stp/>
        <stp/>
        <stp>TRUE</stp>
        <stp>T</stp>
        <tr r="Z13" s="1"/>
      </tp>
      <tp t="s">
        <v/>
        <stp/>
        <stp>StudyData</stp>
        <stp>SA3??4</stp>
        <stp>Vol</stp>
        <stp>VolType=Exchange,CoCType=Contract</stp>
        <stp>Vol</stp>
        <stp>5</stp>
        <stp>0</stp>
        <stp>ALL</stp>
        <stp/>
        <stp/>
        <stp>TRUE</stp>
        <stp>T</stp>
        <tr r="Z9" s="1"/>
      </tp>
      <tp t="s">
        <v/>
        <stp/>
        <stp>StudyData</stp>
        <stp>SA3??5</stp>
        <stp>Vol</stp>
        <stp>VolType=Exchange,CoCType=Contract</stp>
        <stp>Vol</stp>
        <stp>5</stp>
        <stp>0</stp>
        <stp>ALL</stp>
        <stp/>
        <stp/>
        <stp>TRUE</stp>
        <stp>T</stp>
        <tr r="Z11" s="1"/>
      </tp>
      <tp>
        <v>10</v>
        <stp/>
        <stp>StudyData</stp>
        <stp>SA3??2</stp>
        <stp>Vol</stp>
        <stp>VolType=Exchange,CoCType=Contract</stp>
        <stp>Vol</stp>
        <stp>5</stp>
        <stp>0</stp>
        <stp>ALL</stp>
        <stp/>
        <stp/>
        <stp>TRUE</stp>
        <stp>T</stp>
        <tr r="Z7" s="1"/>
        <tr r="Z7" s="1"/>
      </tp>
      <tp>
        <v>1</v>
        <stp/>
        <stp>StudyData</stp>
        <stp>SA3??3</stp>
        <stp>Vol</stp>
        <stp>VolType=Exchange,CoCType=Contract</stp>
        <stp>Vol</stp>
        <stp>5</stp>
        <stp>0</stp>
        <stp>ALL</stp>
        <stp/>
        <stp/>
        <stp>TRUE</stp>
        <stp>T</stp>
        <tr r="Z8" s="1"/>
        <tr r="Z8" s="1"/>
      </tp>
      <tp t="s">
        <v/>
        <stp/>
        <stp>StudyData</stp>
        <stp>SA3??1</stp>
        <stp>Vol</stp>
        <stp>VolType=Exchange,CoCType=Contract</stp>
        <stp>Vol</stp>
        <stp>5</stp>
        <stp>0</stp>
        <stp>ALL</stp>
        <stp/>
        <stp/>
        <stp>TRUE</stp>
        <stp>T</stp>
        <tr r="Z6" s="1"/>
      </tp>
      <tp>
        <v>15</v>
        <stp/>
        <stp>StudyData</stp>
        <stp>(MA(SA3??10,Period:=10,MAType:=Sim,InputChoice:=ContractVol) when LocalYear(SA3??10)=2023 And (LocalMonth(SA3??10)=5 And LocalDay(SA3??10)=12 ))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2</v>
        <stp/>
        <stp>StudyData</stp>
        <stp>(MA(SA3??11,Period:=10,MAType:=Sim,InputChoice:=ContractVol) when LocalYear(SA3??11)=2023 And (LocalMonth(SA3??11)=5 And LocalDay(SA3??11)=12 ))</stp>
        <stp>Bar</stp>
        <stp/>
        <stp>Close</stp>
        <stp>D</stp>
        <stp>0</stp>
        <stp>all</stp>
        <stp/>
        <stp/>
        <stp>False</stp>
        <stp/>
        <stp/>
        <tr r="P18" s="1"/>
      </tp>
      <tp t="s">
        <v/>
        <stp/>
        <stp>StudyData</stp>
        <stp>(MA(SA3??12,Period:=10,MAType:=Sim,InputChoice:=ContractVol) when LocalYear(SA3??12)=2023 And (LocalMonth(SA3??12)=5 And LocalDay(SA3??12)=12 ))</stp>
        <stp>Bar</stp>
        <stp/>
        <stp>Close</stp>
        <stp>D</stp>
        <stp>0</stp>
        <stp>all</stp>
        <stp/>
        <stp/>
        <stp>False</stp>
        <stp/>
        <stp/>
        <tr r="P19" s="1"/>
      </tp>
      <tp t="s">
        <v/>
        <stp/>
        <stp>StudyData</stp>
        <stp>(MA(SA3??13,Period:=10,MAType:=Sim,InputChoice:=ContractVol) when LocalYear(SA3??13)=2023 And (LocalMonth(SA3??13)=5 And LocalDay(SA3??13)=12 ))</stp>
        <stp>Bar</stp>
        <stp/>
        <stp>Close</stp>
        <stp>D</stp>
        <stp>0</stp>
        <stp>all</stp>
        <stp/>
        <stp/>
        <stp>False</stp>
        <stp/>
        <stp/>
        <tr r="P21" s="1"/>
      </tp>
      <tp t="s">
        <v/>
        <stp/>
        <stp>StudyData</stp>
        <stp>(MA(SA3??14,Period:=10,MAType:=Sim,InputChoice:=ContractVol) when LocalYear(SA3??14)=2023 And (LocalMonth(SA3??14)=5 And LocalDay(SA3??14)=12 ))</stp>
        <stp>Bar</stp>
        <stp/>
        <stp>Close</stp>
        <stp>D</stp>
        <stp>0</stp>
        <stp>all</stp>
        <stp/>
        <stp/>
        <stp>False</stp>
        <stp/>
        <stp/>
        <tr r="P22" s="1"/>
      </tp>
      <tp t="s">
        <v/>
        <stp/>
        <stp>StudyData</stp>
        <stp>(MA(SA3??15,Period:=10,MAType:=Sim,InputChoice:=ContractVol) when LocalYear(SA3??15)=2023 And (LocalMonth(SA3??15)=5 And LocalDay(SA3??15)=12 ))</stp>
        <stp>Bar</stp>
        <stp/>
        <stp>Close</stp>
        <stp>D</stp>
        <stp>0</stp>
        <stp>all</stp>
        <stp/>
        <stp/>
        <stp>False</stp>
        <stp/>
        <stp/>
        <tr r="P23" s="1"/>
      </tp>
      <tp t="s">
        <v/>
        <stp/>
        <stp>StudyData</stp>
        <stp>(MA(SA3??16,Period:=10,MAType:=Sim,InputChoice:=ContractVol) when LocalYear(SA3??16)=2023 And (LocalMonth(SA3??16)=5 And LocalDay(SA3??16)=12 ))</stp>
        <stp>Bar</stp>
        <stp/>
        <stp>Close</stp>
        <stp>D</stp>
        <stp>0</stp>
        <stp>all</stp>
        <stp/>
        <stp/>
        <stp>False</stp>
        <stp/>
        <stp/>
        <tr r="P24" s="1"/>
      </tp>
      <tp>
        <v>266</v>
        <stp/>
        <stp>ContractData</stp>
        <stp>SA3??10</stp>
        <stp>P_OI</stp>
        <tr r="X17" s="1"/>
      </tp>
      <tp>
        <v>2</v>
        <stp/>
        <stp>ContractData</stp>
        <stp>SA3??11</stp>
        <stp>P_OI</stp>
        <tr r="X18" s="1"/>
      </tp>
      <tp>
        <v>0</v>
        <stp/>
        <stp>ContractData</stp>
        <stp>SA3??12</stp>
        <stp>P_OI</stp>
        <tr r="X19" s="1"/>
      </tp>
      <tp>
        <v>0</v>
        <stp/>
        <stp>ContractData</stp>
        <stp>SA3??13</stp>
        <stp>P_OI</stp>
        <tr r="X21" s="1"/>
      </tp>
      <tp>
        <v>0</v>
        <stp/>
        <stp>ContractData</stp>
        <stp>SA3??14</stp>
        <stp>P_OI</stp>
        <tr r="X22" s="1"/>
      </tp>
      <tp>
        <v>0</v>
        <stp/>
        <stp>ContractData</stp>
        <stp>SA3??15</stp>
        <stp>P_OI</stp>
        <tr r="X23" s="1"/>
      </tp>
      <tp>
        <v>0</v>
        <stp/>
        <stp>ContractData</stp>
        <stp>SA3??16</stp>
        <stp>P_OI</stp>
        <tr r="X2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25</xdr:row>
      <xdr:rowOff>66675</xdr:rowOff>
    </xdr:from>
    <xdr:to>
      <xdr:col>5</xdr:col>
      <xdr:colOff>914400</xdr:colOff>
      <xdr:row>25</xdr:row>
      <xdr:rowOff>200025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658600"/>
          <a:ext cx="533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61"/>
  <sheetViews>
    <sheetView showGridLines="0" showRowColHeaders="0" tabSelected="1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4" style="1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11" customWidth="1"/>
    <col min="16" max="17" width="5.7109375" style="11" customWidth="1"/>
    <col min="18" max="18" width="5.140625" style="1" customWidth="1"/>
    <col min="19" max="19" width="1.7109375" style="1" customWidth="1"/>
    <col min="20" max="23" width="12.7109375" style="1" customWidth="1"/>
    <col min="24" max="24" width="13.7109375" style="1" customWidth="1"/>
    <col min="25" max="25" width="14.85546875" style="1" customWidth="1"/>
    <col min="26" max="26" width="10.28515625" style="1" customWidth="1"/>
    <col min="27" max="27" width="8.7109375" style="1" customWidth="1"/>
    <col min="28" max="28" width="15.7109375" style="1" customWidth="1"/>
    <col min="29" max="31" width="8.7109375" style="1" hidden="1" customWidth="1"/>
    <col min="32" max="16384" width="9.140625" style="1"/>
  </cols>
  <sheetData>
    <row r="1" spans="1:31" ht="3.95" customHeight="1" x14ac:dyDescent="0.3">
      <c r="A1" s="2">
        <f ca="1">TODAY()</f>
        <v>45070</v>
      </c>
      <c r="B1" s="3">
        <f ca="1">IF(WEEKDAY(A1)=2,-3,-1)</f>
        <v>-1</v>
      </c>
      <c r="C1" s="3">
        <f ca="1">DAY(A1+B1)</f>
        <v>23</v>
      </c>
      <c r="D1" s="28">
        <f xml:space="preserve"> RTD("cqg.rtd",,"StudyData",$A$5&amp;A6,"Bar",,"Time",Z4,,"all",,,"False")</f>
        <v>45070.371527777781</v>
      </c>
      <c r="E1" s="29">
        <f xml:space="preserve"> HOUR(D1)</f>
        <v>8</v>
      </c>
      <c r="F1" s="3">
        <f xml:space="preserve"> MINUTE(RTD("cqg.rtd",,"StudyData",$A$5&amp;A6,"Bar",,"Time",Z4,,"all",,,"False"))</f>
        <v>55</v>
      </c>
    </row>
    <row r="2" spans="1:31" ht="21.95" customHeight="1" x14ac:dyDescent="0.3">
      <c r="B2" s="116" t="s">
        <v>32</v>
      </c>
      <c r="C2" s="116"/>
      <c r="D2" s="116"/>
      <c r="E2" s="118">
        <f>RTD("cqg.rtd", ,"SystemInfo", "Linetime")</f>
        <v>45070.371875000004</v>
      </c>
      <c r="F2" s="118"/>
      <c r="G2" s="127"/>
      <c r="H2" s="127"/>
      <c r="I2" s="127"/>
      <c r="J2" s="148" t="s">
        <v>37</v>
      </c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35" t="s">
        <v>35</v>
      </c>
      <c r="Z2" s="135"/>
      <c r="AA2" s="146">
        <f>RTD("cqg.rtd", ,"SystemInfo", "Linetime")+6/24</f>
        <v>45070.621875000004</v>
      </c>
      <c r="AB2" s="146"/>
      <c r="AC2" s="98"/>
      <c r="AD2" s="98"/>
      <c r="AE2" s="99"/>
    </row>
    <row r="3" spans="1:31" ht="21.95" customHeight="1" x14ac:dyDescent="0.3">
      <c r="B3" s="117"/>
      <c r="C3" s="117"/>
      <c r="D3" s="117"/>
      <c r="E3" s="119"/>
      <c r="F3" s="119"/>
      <c r="G3" s="128"/>
      <c r="H3" s="128"/>
      <c r="I3" s="128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36"/>
      <c r="Z3" s="136"/>
      <c r="AA3" s="147"/>
      <c r="AB3" s="147"/>
      <c r="AC3" s="100"/>
      <c r="AD3" s="100"/>
      <c r="AE3" s="101"/>
    </row>
    <row r="4" spans="1:31" ht="20.100000000000001" customHeight="1" x14ac:dyDescent="0.3">
      <c r="B4" s="110" t="s">
        <v>34</v>
      </c>
      <c r="C4" s="111"/>
      <c r="D4" s="111"/>
      <c r="E4" s="112"/>
      <c r="F4" s="41" t="s">
        <v>16</v>
      </c>
      <c r="G4" s="43" t="s">
        <v>17</v>
      </c>
      <c r="H4" s="39"/>
      <c r="I4" s="39"/>
      <c r="J4" s="126" t="s">
        <v>20</v>
      </c>
      <c r="K4" s="126"/>
      <c r="L4" s="57">
        <v>10</v>
      </c>
      <c r="M4" s="45"/>
      <c r="N4" s="129" t="s">
        <v>27</v>
      </c>
      <c r="O4" s="130"/>
      <c r="P4" s="72">
        <v>5</v>
      </c>
      <c r="Q4" s="72">
        <v>12</v>
      </c>
      <c r="R4" s="73">
        <v>23</v>
      </c>
      <c r="S4" s="109"/>
      <c r="T4" s="142" t="s">
        <v>24</v>
      </c>
      <c r="U4" s="142"/>
      <c r="V4" s="111" t="s">
        <v>25</v>
      </c>
      <c r="W4" s="111"/>
      <c r="X4" s="142" t="s">
        <v>28</v>
      </c>
      <c r="Y4" s="143"/>
      <c r="Z4" s="48">
        <v>5</v>
      </c>
      <c r="AA4" s="47" t="s">
        <v>26</v>
      </c>
      <c r="AB4" s="110" t="s">
        <v>34</v>
      </c>
      <c r="AC4" s="111"/>
      <c r="AD4" s="111"/>
      <c r="AE4" s="112"/>
    </row>
    <row r="5" spans="1:31" ht="20.100000000000001" customHeight="1" x14ac:dyDescent="0.3">
      <c r="A5" s="4" t="s">
        <v>38</v>
      </c>
      <c r="B5" s="113"/>
      <c r="C5" s="114"/>
      <c r="D5" s="114"/>
      <c r="E5" s="115"/>
      <c r="F5" s="42" t="s">
        <v>19</v>
      </c>
      <c r="G5" s="44" t="s">
        <v>18</v>
      </c>
      <c r="H5" s="40"/>
      <c r="I5" s="40"/>
      <c r="J5" s="140" t="s">
        <v>21</v>
      </c>
      <c r="K5" s="140"/>
      <c r="L5" s="58" t="s">
        <v>22</v>
      </c>
      <c r="M5" s="46"/>
      <c r="N5" s="131"/>
      <c r="O5" s="132"/>
      <c r="P5" s="76" t="s">
        <v>33</v>
      </c>
      <c r="Q5" s="74">
        <v>10</v>
      </c>
      <c r="R5" s="75" t="str">
        <f>"20"&amp;R4</f>
        <v>2023</v>
      </c>
      <c r="S5" s="103"/>
      <c r="T5" s="144"/>
      <c r="U5" s="144"/>
      <c r="V5" s="141"/>
      <c r="W5" s="141"/>
      <c r="X5" s="144"/>
      <c r="Y5" s="145"/>
      <c r="Z5" s="140" t="s">
        <v>23</v>
      </c>
      <c r="AA5" s="140"/>
      <c r="AB5" s="113"/>
      <c r="AC5" s="114"/>
      <c r="AD5" s="114"/>
      <c r="AE5" s="115"/>
    </row>
    <row r="6" spans="1:31" x14ac:dyDescent="0.3">
      <c r="A6" s="3" t="s">
        <v>0</v>
      </c>
      <c r="B6" s="66" t="str">
        <f>RIGHT(RTD("cqg.rtd",,"ContractData",$A$5&amp;A6,"LongDescription"),6)</f>
        <v>Mar 23</v>
      </c>
      <c r="C6" s="61"/>
      <c r="D6" s="61"/>
      <c r="E6" s="61"/>
      <c r="F6" s="5">
        <f>IF(B6="","",RTD("cqg.rtd",,"ContractData",$A$5&amp;A6,"ExpirationDate",,"D"))</f>
        <v>45097</v>
      </c>
      <c r="G6" s="6">
        <f ca="1">F6-$A$1</f>
        <v>27</v>
      </c>
      <c r="H6" s="24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12"/>
      <c r="J6" s="6">
        <f>K6</f>
        <v>4725</v>
      </c>
      <c r="K6" s="50">
        <f>RTD("cqg.rtd", ,"ContractData", $A$5&amp;A6, "T_CVol")</f>
        <v>4725</v>
      </c>
      <c r="L6" s="6">
        <f xml:space="preserve"> RTD("cqg.rtd",,"StudyData", $A$5&amp;A6, "MA", "InputChoice=ContractVol,MAType=Sim,Period="&amp;$L$4&amp;"", "MA",,,"all",,,,"T")</f>
        <v>2706.1</v>
      </c>
      <c r="M6" s="30">
        <f>IF(K6&gt;L6,1,0)</f>
        <v>1</v>
      </c>
      <c r="N6" s="6">
        <f>RTD("cqg.rtd", ,"ContractData", $A$5&amp;A6, "Y_CVol")</f>
        <v>3768</v>
      </c>
      <c r="O6" s="34">
        <f>IF(ISERROR(K6/N6),"",K6/N6)</f>
        <v>1.2539808917197452</v>
      </c>
      <c r="P6" s="150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1557</v>
      </c>
      <c r="Q6" s="151"/>
      <c r="R6" s="152"/>
      <c r="S6" s="104"/>
      <c r="T6" s="8">
        <f>U6</f>
        <v>71623</v>
      </c>
      <c r="U6" s="8">
        <f>IF(B6="","",RTD("cqg.rtd", ,"ContractData", $A$5&amp;A6, "COI"))</f>
        <v>71623</v>
      </c>
      <c r="V6" s="8">
        <f>U6-X6</f>
        <v>368</v>
      </c>
      <c r="W6" s="8">
        <f>V6</f>
        <v>368</v>
      </c>
      <c r="X6" s="8">
        <f>IF(B6="","",RTD("cqg.rtd", ,"ContractData", $A$5&amp;A6, "P_OI"))</f>
        <v>71255</v>
      </c>
      <c r="Y6" s="18">
        <f>IFERROR(U6/X6,"")</f>
        <v>1.0051645498561503</v>
      </c>
      <c r="Z6" s="30">
        <f>IF(RTD("cqg.rtd",,"StudyData",$A$5&amp;A6,"Vol","VolType=Exchange,CoCType=Contract","Vol",$Z$4,"0","ALL",,,"TRUE","T")="",0,RTD("cqg.rtd",,"StudyData",$A$5&amp;A6,"Vol","VolType=Exchange,CoCType=Contract","Vol",$Z$4,"0","ALL",,,"TRUE","T"))</f>
        <v>0</v>
      </c>
      <c r="AA6" s="32">
        <f ca="1">IFERROR(IF(B6="","",RTD("cqg.rtd",,"StudyData","Vol("&amp;$A$5&amp;A6&amp;") when (LocalDay("&amp;$A$5&amp;A6&amp;")="&amp;$C$1&amp;" and LocalHour("&amp;$A$5&amp;A6&amp;")="&amp;$E$1&amp;" and LocalMinute("&amp;$A$5&amp;$A6&amp;")="&amp;$F$1&amp;")","Bar",,"Vol",$Z$4,"0")),"")</f>
        <v>500</v>
      </c>
      <c r="AB6" s="94" t="str">
        <f t="shared" ref="AB6:AB12" si="0">B6</f>
        <v>Mar 23</v>
      </c>
      <c r="AC6" s="78"/>
      <c r="AD6" s="78"/>
      <c r="AE6" s="79"/>
    </row>
    <row r="7" spans="1:31" x14ac:dyDescent="0.3">
      <c r="A7" s="3" t="s">
        <v>1</v>
      </c>
      <c r="B7" s="67" t="str">
        <f>RIGHT(RTD("cqg.rtd",,"ContractData",$A$5&amp;A7,"LongDescription"),6)</f>
        <v>Jun 23</v>
      </c>
      <c r="C7" s="62"/>
      <c r="D7" s="62"/>
      <c r="E7" s="62"/>
      <c r="F7" s="7">
        <f>IF(B7="","",RTD("cqg.rtd",,"ContractData",$A$5&amp;A7,"ExpirationDate",,"D"))</f>
        <v>45188</v>
      </c>
      <c r="G7" s="8">
        <f t="shared" ref="G7:G24" ca="1" si="1">F7-$A$1</f>
        <v>118</v>
      </c>
      <c r="H7" s="25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1</v>
      </c>
      <c r="I7" s="13"/>
      <c r="J7" s="8">
        <f>K7</f>
        <v>2194</v>
      </c>
      <c r="K7" s="51">
        <f>RTD("cqg.rtd", ,"ContractData", $A$5&amp;A7, "T_CVol")</f>
        <v>2194</v>
      </c>
      <c r="L7" s="8">
        <f xml:space="preserve"> RTD("cqg.rtd",,"StudyData", $A$5&amp;A7, "MA", "InputChoice=ContractVol,MAType=Sim,Period="&amp;$L$4&amp;"", "MA",,,"all",,,,"T")</f>
        <v>4390.8</v>
      </c>
      <c r="M7" s="31">
        <f>IF(K7&gt;L7,1,0)</f>
        <v>0</v>
      </c>
      <c r="N7" s="8">
        <f>RTD("cqg.rtd", ,"ContractData", $A$5&amp;A7, "Y_CVol")</f>
        <v>3024</v>
      </c>
      <c r="O7" s="35">
        <f t="shared" ref="O7:O24" si="2">IF(ISERROR(K7/N7),"",K7/N7)</f>
        <v>0.72552910052910058</v>
      </c>
      <c r="P7" s="123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4528</v>
      </c>
      <c r="Q7" s="124"/>
      <c r="R7" s="125"/>
      <c r="S7" s="104"/>
      <c r="T7" s="8">
        <f t="shared" ref="T7:T24" si="3">U7</f>
        <v>45202</v>
      </c>
      <c r="U7" s="8">
        <f>IF(B7="","",RTD("cqg.rtd", ,"ContractData", $A$5&amp;A7, "COI"))</f>
        <v>45202</v>
      </c>
      <c r="V7" s="8">
        <f t="shared" ref="V7:V24" si="4">U7-X7</f>
        <v>155</v>
      </c>
      <c r="W7" s="8">
        <f t="shared" ref="W7:W24" si="5">V7</f>
        <v>155</v>
      </c>
      <c r="X7" s="8">
        <f>IF(B7="","",RTD("cqg.rtd", ,"ContractData", $A$5&amp;A7, "P_OI"))</f>
        <v>45047</v>
      </c>
      <c r="Y7" s="18">
        <f>IFERROR(U7/X7,"")</f>
        <v>1.0034408506670811</v>
      </c>
      <c r="Z7" s="30">
        <f>IF(RTD("cqg.rtd",,"StudyData",$A$5&amp;A7,"Vol","VolType=Exchange,CoCType=Contract","Vol",$Z$4,"0","ALL",,,"TRUE","T")="",0,RTD("cqg.rtd",,"StudyData",$A$5&amp;A7,"Vol","VolType=Exchange,CoCType=Contract","Vol",$Z$4,"0","ALL",,,"TRUE","T"))</f>
        <v>10</v>
      </c>
      <c r="AA7" s="32">
        <f ca="1">IFERROR(IF(B7="","",RTD("cqg.rtd",,"StudyData","Vol("&amp;$A$5&amp;A7&amp;") when (LocalDay("&amp;$A$5&amp;A7&amp;")="&amp;$C$1&amp;" and LocalHour("&amp;$A$5&amp;A7&amp;")="&amp;$E$1&amp;" and LocalMinute("&amp;$A$5&amp;$A7&amp;")="&amp;$F$1&amp;")","Bar",,"Vol",$Z$4,"0")),"")</f>
        <v>2</v>
      </c>
      <c r="AB7" s="94" t="str">
        <f t="shared" si="0"/>
        <v>Jun 23</v>
      </c>
      <c r="AC7" s="78"/>
      <c r="AD7" s="78"/>
      <c r="AE7" s="79"/>
    </row>
    <row r="8" spans="1:31" x14ac:dyDescent="0.3">
      <c r="A8" s="3" t="s">
        <v>2</v>
      </c>
      <c r="B8" s="67" t="str">
        <f>RIGHT(RTD("cqg.rtd",,"ContractData",$A$5&amp;A8,"LongDescription"),6)</f>
        <v>Sep 23</v>
      </c>
      <c r="C8" s="62"/>
      <c r="D8" s="62"/>
      <c r="E8" s="62"/>
      <c r="F8" s="7">
        <f>IF(B8="","",RTD("cqg.rtd",,"ContractData",$A$5&amp;A8,"ExpirationDate",,"D"))</f>
        <v>45279</v>
      </c>
      <c r="G8" s="8">
        <f t="shared" ca="1" si="1"/>
        <v>209</v>
      </c>
      <c r="H8" s="25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13"/>
      <c r="J8" s="8">
        <f t="shared" ref="J8:J24" si="6">K8</f>
        <v>1747</v>
      </c>
      <c r="K8" s="51">
        <f>RTD("cqg.rtd", ,"ContractData", $A$5&amp;A8, "T_CVol")</f>
        <v>1747</v>
      </c>
      <c r="L8" s="8">
        <f xml:space="preserve"> RTD("cqg.rtd",,"StudyData", $A$5&amp;A8, "MA", "InputChoice=ContractVol,MAType=Sim,Period="&amp;$L$4&amp;"", "MA",,,"all",,,,"T")</f>
        <v>4443.1000000000004</v>
      </c>
      <c r="M8" s="31">
        <f t="shared" ref="M8:M24" si="7">IF(K8&gt;L8,1,0)</f>
        <v>0</v>
      </c>
      <c r="N8" s="8">
        <f>RTD("cqg.rtd", ,"ContractData", $A$5&amp;A8, "Y_CVol")</f>
        <v>2723</v>
      </c>
      <c r="O8" s="35">
        <f t="shared" si="2"/>
        <v>0.64157179581344104</v>
      </c>
      <c r="P8" s="123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4939</v>
      </c>
      <c r="Q8" s="124"/>
      <c r="R8" s="125"/>
      <c r="S8" s="104"/>
      <c r="T8" s="8">
        <f t="shared" si="3"/>
        <v>16536</v>
      </c>
      <c r="U8" s="8">
        <f>IF(B8="","",RTD("cqg.rtd", ,"ContractData", $A$5&amp;A8, "COI"))</f>
        <v>16536</v>
      </c>
      <c r="V8" s="8">
        <f t="shared" si="4"/>
        <v>88</v>
      </c>
      <c r="W8" s="8">
        <f t="shared" si="5"/>
        <v>88</v>
      </c>
      <c r="X8" s="8">
        <f>IF(B8="","",RTD("cqg.rtd", ,"ContractData", $A$5&amp;A8, "P_OI"))</f>
        <v>16448</v>
      </c>
      <c r="Y8" s="18">
        <f>IFERROR(U8/X8,"")</f>
        <v>1.0053501945525292</v>
      </c>
      <c r="Z8" s="30">
        <f>IF(RTD("cqg.rtd",,"StudyData",$A$5&amp;A8,"Vol","VolType=Exchange,CoCType=Contract","Vol",$Z$4,"0","ALL",,,"TRUE","T")="",0,RTD("cqg.rtd",,"StudyData",$A$5&amp;A8,"Vol","VolType=Exchange,CoCType=Contract","Vol",$Z$4,"0","ALL",,,"TRUE","T"))</f>
        <v>1</v>
      </c>
      <c r="AA8" s="32">
        <f ca="1">IFERROR(IF(B8="","",RTD("cqg.rtd",,"StudyData","Vol("&amp;$A$5&amp;A8&amp;") when (LocalDay("&amp;$A$5&amp;A8&amp;")="&amp;$C$1&amp;" and LocalHour("&amp;$A$5&amp;A8&amp;")="&amp;$E$1&amp;" and LocalMinute("&amp;$A$5&amp;$A8&amp;")="&amp;$F$1&amp;")","Bar",,"Vol",$Z$4,"0")),"")</f>
        <v>2</v>
      </c>
      <c r="AB8" s="94" t="str">
        <f t="shared" si="0"/>
        <v>Sep 23</v>
      </c>
      <c r="AC8" s="78"/>
      <c r="AD8" s="78"/>
      <c r="AE8" s="79"/>
    </row>
    <row r="9" spans="1:31" x14ac:dyDescent="0.3">
      <c r="A9" s="3" t="s">
        <v>3</v>
      </c>
      <c r="B9" s="67" t="str">
        <f>RIGHT(RTD("cqg.rtd",,"ContractData",$A$5&amp;A9,"LongDescription"),6)</f>
        <v>Dec 23</v>
      </c>
      <c r="C9" s="62"/>
      <c r="D9" s="62"/>
      <c r="E9" s="62"/>
      <c r="F9" s="7">
        <f>IF(B9="","",RTD("cqg.rtd",,"ContractData",$A$5&amp;A9,"ExpirationDate",,"D"))</f>
        <v>45370</v>
      </c>
      <c r="G9" s="8">
        <f t="shared" ca="1" si="1"/>
        <v>300</v>
      </c>
      <c r="H9" s="25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13"/>
      <c r="J9" s="8">
        <f t="shared" si="6"/>
        <v>1204</v>
      </c>
      <c r="K9" s="51">
        <f>RTD("cqg.rtd", ,"ContractData", $A$5&amp;A9, "T_CVol")</f>
        <v>1204</v>
      </c>
      <c r="L9" s="8">
        <f xml:space="preserve"> RTD("cqg.rtd",,"StudyData", $A$5&amp;A9, "MA", "InputChoice=ContractVol,MAType=Sim,Period="&amp;$L$4&amp;"", "MA",,,"all",,,,"T")</f>
        <v>1857.3</v>
      </c>
      <c r="M9" s="31">
        <f t="shared" si="7"/>
        <v>0</v>
      </c>
      <c r="N9" s="8">
        <f>RTD("cqg.rtd", ,"ContractData", $A$5&amp;A9, "Y_CVol")</f>
        <v>1685</v>
      </c>
      <c r="O9" s="35">
        <f t="shared" si="2"/>
        <v>0.71454005934718101</v>
      </c>
      <c r="P9" s="123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2550</v>
      </c>
      <c r="Q9" s="124"/>
      <c r="R9" s="125"/>
      <c r="S9" s="104"/>
      <c r="T9" s="8">
        <f t="shared" si="3"/>
        <v>12606</v>
      </c>
      <c r="U9" s="8">
        <f>IF(B9="","",RTD("cqg.rtd", ,"ContractData", $A$5&amp;A9, "COI"))</f>
        <v>12606</v>
      </c>
      <c r="V9" s="8">
        <f t="shared" si="4"/>
        <v>22</v>
      </c>
      <c r="W9" s="8">
        <f t="shared" si="5"/>
        <v>22</v>
      </c>
      <c r="X9" s="8">
        <f>IF(B9="","",RTD("cqg.rtd", ,"ContractData", $A$5&amp;A9, "P_OI"))</f>
        <v>12584</v>
      </c>
      <c r="Y9" s="18">
        <f>IFERROR(U9/X9,"")</f>
        <v>1.0017482517482517</v>
      </c>
      <c r="Z9" s="30">
        <f>IF(RTD("cqg.rtd",,"StudyData",$A$5&amp;A9,"Vol","VolType=Exchange,CoCType=Contract","Vol",$Z$4,"0","ALL",,,"TRUE","T")="",0,RTD("cqg.rtd",,"StudyData",$A$5&amp;A9,"Vol","VolType=Exchange,CoCType=Contract","Vol",$Z$4,"0","ALL",,,"TRUE","T"))</f>
        <v>0</v>
      </c>
      <c r="AA9" s="32">
        <f ca="1">IFERROR(IF(B9="","",RTD("cqg.rtd",,"StudyData","Vol("&amp;$A$5&amp;A9&amp;") when (LocalDay("&amp;$A$5&amp;A9&amp;")="&amp;$C$1&amp;" and LocalHour("&amp;$A$5&amp;A9&amp;")="&amp;$E$1&amp;" and LocalMinute("&amp;$A$5&amp;$A9&amp;")="&amp;$F$1&amp;")","Bar",,"Vol",$Z$4,"0")),"")</f>
        <v>10</v>
      </c>
      <c r="AB9" s="94" t="str">
        <f t="shared" si="0"/>
        <v>Dec 23</v>
      </c>
      <c r="AC9" s="78"/>
      <c r="AD9" s="78"/>
      <c r="AE9" s="79"/>
    </row>
    <row r="10" spans="1:31" ht="8.1" customHeight="1" x14ac:dyDescent="0.3">
      <c r="B10" s="68"/>
      <c r="C10" s="20"/>
      <c r="D10" s="20"/>
      <c r="E10" s="20"/>
      <c r="F10" s="21"/>
      <c r="G10" s="20"/>
      <c r="H10" s="26"/>
      <c r="I10" s="20"/>
      <c r="J10" s="20"/>
      <c r="K10" s="20"/>
      <c r="L10" s="56"/>
      <c r="M10" s="22"/>
      <c r="N10" s="20"/>
      <c r="O10" s="37"/>
      <c r="P10" s="77"/>
      <c r="Q10" s="77"/>
      <c r="R10" s="77"/>
      <c r="S10" s="105"/>
      <c r="T10" s="20"/>
      <c r="U10" s="20"/>
      <c r="V10" s="20"/>
      <c r="W10" s="20"/>
      <c r="X10" s="20"/>
      <c r="Y10" s="20"/>
      <c r="Z10" s="20"/>
      <c r="AA10" s="22"/>
      <c r="AB10" s="95"/>
      <c r="AC10" s="23"/>
      <c r="AD10" s="23"/>
      <c r="AE10" s="33"/>
    </row>
    <row r="11" spans="1:31" x14ac:dyDescent="0.3">
      <c r="A11" s="3" t="s">
        <v>4</v>
      </c>
      <c r="B11" s="69" t="str">
        <f>RIGHT(RTD("cqg.rtd",,"ContractData",$A$5&amp;A11,"LongDescription"),6)</f>
        <v>Mar 24</v>
      </c>
      <c r="C11" s="62"/>
      <c r="D11" s="62"/>
      <c r="E11" s="62"/>
      <c r="F11" s="7">
        <f>IF(B11="","",RTD("cqg.rtd",,"ContractData",$A$5&amp;A11,"ExpirationDate",,"D"))</f>
        <v>45461</v>
      </c>
      <c r="G11" s="8">
        <f t="shared" ca="1" si="1"/>
        <v>391</v>
      </c>
      <c r="H11" s="25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1</v>
      </c>
      <c r="I11" s="13"/>
      <c r="J11" s="8">
        <f t="shared" si="6"/>
        <v>720</v>
      </c>
      <c r="K11" s="51">
        <f>RTD("cqg.rtd", ,"ContractData", $A$5&amp;A11, "T_CVol")</f>
        <v>720</v>
      </c>
      <c r="L11" s="8">
        <f xml:space="preserve"> RTD("cqg.rtd",,"StudyData", $A$5&amp;A11, "MA", "InputChoice=ContractVol,MAType=Sim,Period="&amp;$L$4&amp;"", "MA",,,"all",,,,"T")</f>
        <v>1514.7</v>
      </c>
      <c r="M11" s="31">
        <f t="shared" si="7"/>
        <v>0</v>
      </c>
      <c r="N11" s="8">
        <f>RTD("cqg.rtd", ,"ContractData", $A$5&amp;A11, "Y_CVol")</f>
        <v>1060</v>
      </c>
      <c r="O11" s="35">
        <f t="shared" si="2"/>
        <v>0.67924528301886788</v>
      </c>
      <c r="P11" s="123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1634</v>
      </c>
      <c r="Q11" s="124"/>
      <c r="R11" s="125"/>
      <c r="S11" s="104"/>
      <c r="T11" s="8">
        <f t="shared" si="3"/>
        <v>19580</v>
      </c>
      <c r="U11" s="8">
        <f>IF(B11="","",RTD("cqg.rtd", ,"ContractData", $A$5&amp;A11, "COI"))</f>
        <v>19580</v>
      </c>
      <c r="V11" s="8">
        <f t="shared" si="4"/>
        <v>47</v>
      </c>
      <c r="W11" s="8">
        <f t="shared" si="5"/>
        <v>47</v>
      </c>
      <c r="X11" s="8">
        <f>IF(B11="","",RTD("cqg.rtd", ,"ContractData", $A$5&amp;A11, "P_OI"))</f>
        <v>19533</v>
      </c>
      <c r="Y11" s="18">
        <f>IFERROR(U11/X11,"")</f>
        <v>1.0024061844058771</v>
      </c>
      <c r="Z11" s="30">
        <f>IF(RTD("cqg.rtd",,"StudyData",$A$5&amp;A11,"Vol","VolType=Exchange,CoCType=Contract","Vol",$Z$4,"0","ALL",,,"TRUE","T")="",0,RTD("cqg.rtd",,"StudyData",$A$5&amp;A11,"Vol","VolType=Exchange,CoCType=Contract","Vol",$Z$4,"0","ALL",,,"TRUE","T"))</f>
        <v>0</v>
      </c>
      <c r="AA11" s="32">
        <f ca="1">IFERROR(IF(B11="","",RTD("cqg.rtd",,"StudyData","Vol("&amp;$A$5&amp;A11&amp;") when (LocalDay("&amp;$A$5&amp;A11&amp;")="&amp;$C$1&amp;" and LocalHour("&amp;$A$5&amp;A11&amp;")="&amp;$E$1&amp;" and LocalMinute("&amp;$A$5&amp;$A11&amp;")="&amp;$F$1&amp;")","Bar",,"Vol",$Z$4,"0")),"")</f>
        <v>5</v>
      </c>
      <c r="AB11" s="107" t="str">
        <f t="shared" si="0"/>
        <v>Mar 24</v>
      </c>
      <c r="AC11" s="78"/>
      <c r="AD11" s="78"/>
      <c r="AE11" s="79"/>
    </row>
    <row r="12" spans="1:31" x14ac:dyDescent="0.3">
      <c r="A12" s="3" t="s">
        <v>5</v>
      </c>
      <c r="B12" s="69" t="str">
        <f>RIGHT(RTD("cqg.rtd",,"ContractData",$A$5&amp;A12,"LongDescription"),6)</f>
        <v>Jun 24</v>
      </c>
      <c r="C12" s="62"/>
      <c r="D12" s="62"/>
      <c r="E12" s="62"/>
      <c r="F12" s="7">
        <f>IF(B12="","",RTD("cqg.rtd",,"ContractData",$A$5&amp;A12,"ExpirationDate",,"D"))</f>
        <v>45552</v>
      </c>
      <c r="G12" s="8">
        <f t="shared" ca="1" si="1"/>
        <v>482</v>
      </c>
      <c r="H12" s="25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13"/>
      <c r="J12" s="8">
        <f t="shared" si="6"/>
        <v>799</v>
      </c>
      <c r="K12" s="51">
        <f>RTD("cqg.rtd", ,"ContractData", $A$5&amp;A12, "T_CVol")</f>
        <v>799</v>
      </c>
      <c r="L12" s="8">
        <f xml:space="preserve"> RTD("cqg.rtd",,"StudyData", $A$5&amp;A12, "MA", "InputChoice=ContractVol,MAType=Sim,Period="&amp;$L$4&amp;"", "MA",,,"all",,,,"T")</f>
        <v>1517.4</v>
      </c>
      <c r="M12" s="31">
        <f t="shared" si="7"/>
        <v>0</v>
      </c>
      <c r="N12" s="8">
        <f>RTD("cqg.rtd", ,"ContractData", $A$5&amp;A12, "Y_CVol")</f>
        <v>1305</v>
      </c>
      <c r="O12" s="35">
        <f t="shared" si="2"/>
        <v>0.61226053639846745</v>
      </c>
      <c r="P12" s="123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2021</v>
      </c>
      <c r="Q12" s="124"/>
      <c r="R12" s="125"/>
      <c r="S12" s="104"/>
      <c r="T12" s="8">
        <f t="shared" si="3"/>
        <v>15978</v>
      </c>
      <c r="U12" s="8">
        <f>IF(B12="","",RTD("cqg.rtd", ,"ContractData", $A$5&amp;A12, "COI"))</f>
        <v>15978</v>
      </c>
      <c r="V12" s="8">
        <f t="shared" si="4"/>
        <v>-248</v>
      </c>
      <c r="W12" s="8">
        <f t="shared" si="5"/>
        <v>-248</v>
      </c>
      <c r="X12" s="8">
        <f>IF(B12="","",RTD("cqg.rtd", ,"ContractData", $A$5&amp;A12, "P_OI"))</f>
        <v>16226</v>
      </c>
      <c r="Y12" s="18">
        <f>IFERROR(U12/X12,"")</f>
        <v>0.98471588808085786</v>
      </c>
      <c r="Z12" s="30">
        <f>IF(RTD("cqg.rtd",,"StudyData",$A$5&amp;A12,"Vol","VolType=Exchange,CoCType=Contract","Vol",$Z$4,"0","ALL",,,"TRUE","T")="",0,RTD("cqg.rtd",,"StudyData",$A$5&amp;A12,"Vol","VolType=Exchange,CoCType=Contract","Vol",$Z$4,"0","ALL",,,"TRUE","T"))</f>
        <v>0</v>
      </c>
      <c r="AA12" s="32">
        <f ca="1">IFERROR(IF(B12="","",RTD("cqg.rtd",,"StudyData","Vol("&amp;$A$5&amp;A12&amp;") when (LocalDay("&amp;$A$5&amp;A12&amp;")="&amp;$C$1&amp;" and LocalHour("&amp;$A$5&amp;A12&amp;")="&amp;$E$1&amp;" and LocalMinute("&amp;$A$5&amp;$A12&amp;")="&amp;$F$1&amp;")","Bar",,"Vol",$Z$4,"0")),"")</f>
        <v>20</v>
      </c>
      <c r="AB12" s="107" t="str">
        <f t="shared" si="0"/>
        <v>Jun 24</v>
      </c>
      <c r="AC12" s="78"/>
      <c r="AD12" s="78"/>
      <c r="AE12" s="79"/>
    </row>
    <row r="13" spans="1:31" x14ac:dyDescent="0.3">
      <c r="A13" s="3" t="s">
        <v>6</v>
      </c>
      <c r="B13" s="69" t="str">
        <f>RIGHT(RTD("cqg.rtd",,"ContractData",$A$5&amp;A13,"LongDescription"),6)</f>
        <v>Sep 24</v>
      </c>
      <c r="C13" s="62"/>
      <c r="D13" s="62"/>
      <c r="E13" s="62"/>
      <c r="F13" s="7">
        <f>IF(B13="","",RTD("cqg.rtd",,"ContractData",$A$5&amp;A13,"ExpirationDate",,"D"))</f>
        <v>45643</v>
      </c>
      <c r="G13" s="8">
        <f t="shared" ca="1" si="1"/>
        <v>573</v>
      </c>
      <c r="H13" s="25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1</v>
      </c>
      <c r="I13" s="13"/>
      <c r="J13" s="8">
        <f t="shared" si="6"/>
        <v>1089</v>
      </c>
      <c r="K13" s="51">
        <f>RTD("cqg.rtd", ,"ContractData", $A$5&amp;A13, "T_CVol")</f>
        <v>1089</v>
      </c>
      <c r="L13" s="8">
        <f xml:space="preserve"> RTD("cqg.rtd",,"StudyData", $A$5&amp;A13, "MA", "InputChoice=ContractVol,MAType=Sim,Period="&amp;$L$4&amp;"", "MA",,,"all",,,,"T")</f>
        <v>2756.6</v>
      </c>
      <c r="M13" s="31">
        <f t="shared" si="7"/>
        <v>0</v>
      </c>
      <c r="N13" s="8">
        <f>RTD("cqg.rtd", ,"ContractData", $A$5&amp;A13, "Y_CVol")</f>
        <v>1383</v>
      </c>
      <c r="O13" s="35">
        <f t="shared" si="2"/>
        <v>0.78741865509761388</v>
      </c>
      <c r="P13" s="123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2867</v>
      </c>
      <c r="Q13" s="124"/>
      <c r="R13" s="125"/>
      <c r="S13" s="104"/>
      <c r="T13" s="8">
        <f t="shared" si="3"/>
        <v>14075</v>
      </c>
      <c r="U13" s="8">
        <f>IF(B13="","",RTD("cqg.rtd", ,"ContractData", $A$5&amp;A13, "COI"))</f>
        <v>14075</v>
      </c>
      <c r="V13" s="8">
        <f t="shared" si="4"/>
        <v>185</v>
      </c>
      <c r="W13" s="8">
        <f t="shared" si="5"/>
        <v>185</v>
      </c>
      <c r="X13" s="8">
        <f>IF(B13="","",RTD("cqg.rtd", ,"ContractData", $A$5&amp;A13, "P_OI"))</f>
        <v>13890</v>
      </c>
      <c r="Y13" s="18">
        <f>IFERROR(U13/X13,"")</f>
        <v>1.0133189344852411</v>
      </c>
      <c r="Z13" s="30">
        <f>IF(RTD("cqg.rtd",,"StudyData",$A$5&amp;A13,"Vol","VolType=Exchange,CoCType=Contract","Vol",$Z$4,"0","ALL",,,"TRUE","T")="",0,RTD("cqg.rtd",,"StudyData",$A$5&amp;A13,"Vol","VolType=Exchange,CoCType=Contract","Vol",$Z$4,"0","ALL",,,"TRUE","T"))</f>
        <v>0</v>
      </c>
      <c r="AA13" s="32">
        <f ca="1">IFERROR(IF(B13="","",RTD("cqg.rtd",,"StudyData","Vol("&amp;$A$5&amp;A13&amp;") when (LocalDay("&amp;$A$5&amp;A13&amp;")="&amp;$C$1&amp;" and LocalHour("&amp;$A$5&amp;A13&amp;")="&amp;$E$1&amp;" and LocalMinute("&amp;$A$5&amp;$A13&amp;")="&amp;$F$1&amp;")","Bar",,"Vol",$Z$4,"0")),"")</f>
        <v>1</v>
      </c>
      <c r="AB13" s="107" t="str">
        <f>B12</f>
        <v>Jun 24</v>
      </c>
      <c r="AC13" s="78"/>
      <c r="AD13" s="78"/>
      <c r="AE13" s="79"/>
    </row>
    <row r="14" spans="1:31" x14ac:dyDescent="0.3">
      <c r="A14" s="3" t="s">
        <v>7</v>
      </c>
      <c r="B14" s="106" t="str">
        <f>RIGHT(RTD("cqg.rtd",,"ContractData",$A$5&amp;A14,"LongDescription"),6)</f>
        <v>Dec 24</v>
      </c>
      <c r="C14" s="63"/>
      <c r="D14" s="63"/>
      <c r="E14" s="63"/>
      <c r="F14" s="9">
        <f>IF(B14="","",RTD("cqg.rtd",,"ContractData",$A$5&amp;A14,"ExpirationDate",,"D"))</f>
        <v>45734</v>
      </c>
      <c r="G14" s="10">
        <f t="shared" ca="1" si="1"/>
        <v>664</v>
      </c>
      <c r="H14" s="25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13"/>
      <c r="J14" s="10">
        <f t="shared" si="6"/>
        <v>663</v>
      </c>
      <c r="K14" s="52">
        <f>RTD("cqg.rtd", ,"ContractData", $A$5&amp;A14, "T_CVol")</f>
        <v>663</v>
      </c>
      <c r="L14" s="8">
        <f xml:space="preserve"> RTD("cqg.rtd",,"StudyData", $A$5&amp;A14, "MA", "InputChoice=ContractVol,MAType=Sim,Period="&amp;$L$4&amp;"", "MA",,,"all",,,,"T")</f>
        <v>1095.4000000000001</v>
      </c>
      <c r="M14" s="54">
        <f t="shared" si="7"/>
        <v>0</v>
      </c>
      <c r="N14" s="10">
        <f>RTD("cqg.rtd", ,"ContractData", $A$5&amp;A14, "Y_CVol")</f>
        <v>500</v>
      </c>
      <c r="O14" s="36">
        <f t="shared" si="2"/>
        <v>1.3260000000000001</v>
      </c>
      <c r="P14" s="123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1216</v>
      </c>
      <c r="Q14" s="124"/>
      <c r="R14" s="125"/>
      <c r="S14" s="104"/>
      <c r="T14" s="8">
        <f t="shared" si="3"/>
        <v>8555</v>
      </c>
      <c r="U14" s="8">
        <f>IF(B14="","",RTD("cqg.rtd", ,"ContractData", $A$5&amp;A14, "COI"))</f>
        <v>8555</v>
      </c>
      <c r="V14" s="8">
        <f t="shared" si="4"/>
        <v>3</v>
      </c>
      <c r="W14" s="8">
        <f t="shared" si="5"/>
        <v>3</v>
      </c>
      <c r="X14" s="8">
        <f>IF(B14="","",RTD("cqg.rtd", ,"ContractData", $A$5&amp;A14, "P_OI"))</f>
        <v>8552</v>
      </c>
      <c r="Y14" s="18">
        <f>IFERROR(U14/X14,"")</f>
        <v>1.0003507951356407</v>
      </c>
      <c r="Z14" s="30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32">
        <f ca="1">IFERROR(IF(B14="","",RTD("cqg.rtd",,"StudyData","Vol("&amp;$A$5&amp;A14&amp;") when (LocalDay("&amp;$A$5&amp;A14&amp;")="&amp;$C$1&amp;" and LocalHour("&amp;$A$5&amp;A14&amp;")="&amp;$E$1&amp;" and LocalMinute("&amp;$A$5&amp;$A14&amp;")="&amp;$F$1&amp;")","Bar",,"Vol",$Z$4,"0")),"")</f>
        <v>3</v>
      </c>
      <c r="AB14" s="107" t="str">
        <f>B14</f>
        <v>Dec 24</v>
      </c>
      <c r="AC14" s="78"/>
      <c r="AD14" s="78"/>
      <c r="AE14" s="79"/>
    </row>
    <row r="15" spans="1:31" ht="8.1" customHeight="1" x14ac:dyDescent="0.3">
      <c r="B15" s="68"/>
      <c r="C15" s="20"/>
      <c r="D15" s="20"/>
      <c r="E15" s="20"/>
      <c r="F15" s="21"/>
      <c r="G15" s="20"/>
      <c r="H15" s="26"/>
      <c r="I15" s="20"/>
      <c r="J15" s="20"/>
      <c r="K15" s="20"/>
      <c r="L15" s="56"/>
      <c r="M15" s="22"/>
      <c r="N15" s="20"/>
      <c r="O15" s="37"/>
      <c r="P15" s="77"/>
      <c r="Q15" s="77"/>
      <c r="R15" s="77"/>
      <c r="S15" s="105"/>
      <c r="T15" s="20"/>
      <c r="U15" s="20"/>
      <c r="V15" s="20"/>
      <c r="W15" s="20"/>
      <c r="X15" s="20"/>
      <c r="Y15" s="20"/>
      <c r="Z15" s="20"/>
      <c r="AA15" s="22"/>
      <c r="AB15" s="95"/>
      <c r="AC15" s="23"/>
      <c r="AD15" s="23"/>
      <c r="AE15" s="33"/>
    </row>
    <row r="16" spans="1:31" x14ac:dyDescent="0.3">
      <c r="A16" s="3" t="s">
        <v>8</v>
      </c>
      <c r="B16" s="108" t="str">
        <f>RIGHT(RTD("cqg.rtd",,"ContractData",$A$5&amp;A16,"LongDescription"),6)</f>
        <v>Mar 25</v>
      </c>
      <c r="C16" s="64"/>
      <c r="D16" s="64"/>
      <c r="E16" s="64"/>
      <c r="F16" s="19">
        <f>IF(B16="","",RTD("cqg.rtd",,"ContractData",$A$5&amp;A16,"ExpirationDate",,"D"))</f>
        <v>45825</v>
      </c>
      <c r="G16" s="15">
        <f t="shared" ca="1" si="1"/>
        <v>755</v>
      </c>
      <c r="H16" s="25"/>
      <c r="I16" s="13"/>
      <c r="J16" s="15">
        <f t="shared" si="6"/>
        <v>101</v>
      </c>
      <c r="K16" s="53">
        <f>RTD("cqg.rtd", ,"ContractData", $A$5&amp;A16, "T_CVol")</f>
        <v>101</v>
      </c>
      <c r="L16" s="8">
        <f xml:space="preserve"> RTD("cqg.rtd",,"StudyData", $A$5&amp;A16, "MA", "InputChoice=ContractVol,MAType=Sim,Period="&amp;$L$4&amp;"", "MA",,,"all",,,,"T")</f>
        <v>305.89999999999998</v>
      </c>
      <c r="M16" s="55">
        <f t="shared" si="7"/>
        <v>0</v>
      </c>
      <c r="N16" s="15">
        <f>RTD("cqg.rtd", ,"ContractData", $A$5&amp;A16, "Y_CVol")</f>
        <v>112</v>
      </c>
      <c r="O16" s="38">
        <f t="shared" si="2"/>
        <v>0.9017857142857143</v>
      </c>
      <c r="P16" s="123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218</v>
      </c>
      <c r="Q16" s="124"/>
      <c r="R16" s="125"/>
      <c r="S16" s="104"/>
      <c r="T16" s="14">
        <f t="shared" si="3"/>
        <v>4567</v>
      </c>
      <c r="U16" s="15">
        <f>IF(B16="","",RTD("cqg.rtd", ,"ContractData", $A$5&amp;A16, "COI"))</f>
        <v>4567</v>
      </c>
      <c r="V16" s="15">
        <f t="shared" si="4"/>
        <v>-21</v>
      </c>
      <c r="W16" s="8">
        <f t="shared" si="5"/>
        <v>-21</v>
      </c>
      <c r="X16" s="15">
        <f>IF(B16="","",RTD("cqg.rtd", ,"ContractData", $A$5&amp;A16, "P_OI"))</f>
        <v>4588</v>
      </c>
      <c r="Y16" s="16">
        <f>IFERROR(U16/X16,"")</f>
        <v>0.9954228421970357</v>
      </c>
      <c r="Z16" s="30">
        <f>IF(RTD("cqg.rtd",,"StudyData",$A$5&amp;A16,"Vol","VolType=Exchange,CoCType=Contract","Vol",$Z$4,"0","ALL",,,"TRUE","T")="",0,RTD("cqg.rtd",,"StudyData",$A$5&amp;A16,"Vol","VolType=Exchange,CoCType=Contract","Vol",$Z$4,"0","ALL",,,"TRUE","T"))</f>
        <v>0</v>
      </c>
      <c r="AA16" s="32">
        <f ca="1">IFERROR(IF(B16="","",RTD("cqg.rtd",,"StudyData","Vol("&amp;$A$5&amp;A16&amp;") when (LocalDay("&amp;$A$5&amp;A16&amp;")="&amp;$C$1&amp;" and LocalHour("&amp;$A$5&amp;A16&amp;")="&amp;$E$1&amp;" and LocalMinute("&amp;$A$5&amp;$A16&amp;")="&amp;$F$1&amp;")","Bar",,"Vol",$Z$4,"0")),"")</f>
        <v>9</v>
      </c>
      <c r="AB16" s="96" t="str">
        <f>B16</f>
        <v>Mar 25</v>
      </c>
      <c r="AC16" s="80"/>
      <c r="AD16" s="80"/>
      <c r="AE16" s="81"/>
    </row>
    <row r="17" spans="1:31" x14ac:dyDescent="0.3">
      <c r="A17" s="3" t="s">
        <v>9</v>
      </c>
      <c r="B17" s="70" t="str">
        <f>RIGHT(RTD("cqg.rtd",,"ContractData",$A$5&amp;A17,"LongDescription"),6)</f>
        <v>Jun 25</v>
      </c>
      <c r="C17" s="60"/>
      <c r="D17" s="60"/>
      <c r="E17" s="60"/>
      <c r="F17" s="7">
        <f>IF(B17="","",RTD("cqg.rtd",,"ContractData",$A$5&amp;A17,"ExpirationDate",,"D"))</f>
        <v>45916</v>
      </c>
      <c r="G17" s="8">
        <f t="shared" ca="1" si="1"/>
        <v>846</v>
      </c>
      <c r="H17" s="25"/>
      <c r="I17" s="13"/>
      <c r="J17" s="8">
        <f t="shared" si="6"/>
        <v>0</v>
      </c>
      <c r="K17" s="51">
        <f>RTD("cqg.rtd", ,"ContractData", $A$5&amp;A17, "T_CVol")</f>
        <v>0</v>
      </c>
      <c r="L17" s="8">
        <f xml:space="preserve"> RTD("cqg.rtd",,"StudyData", $A$5&amp;A17, "MA", "InputChoice=ContractVol,MAType=Sim,Period="&amp;$L$4&amp;"", "MA",,,"all",,,,"T")</f>
        <v>19.399999999999999</v>
      </c>
      <c r="M17" s="31">
        <f t="shared" si="7"/>
        <v>0</v>
      </c>
      <c r="N17" s="8">
        <f>RTD("cqg.rtd", ,"ContractData", $A$5&amp;A17, "Y_CVol")</f>
        <v>73</v>
      </c>
      <c r="O17" s="35">
        <f t="shared" si="2"/>
        <v>0</v>
      </c>
      <c r="P17" s="123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15</v>
      </c>
      <c r="Q17" s="124"/>
      <c r="R17" s="125"/>
      <c r="S17" s="104"/>
      <c r="T17" s="17">
        <f t="shared" si="3"/>
        <v>333</v>
      </c>
      <c r="U17" s="8">
        <f>IF(B17="","",RTD("cqg.rtd", ,"ContractData", $A$5&amp;A17, "COI"))</f>
        <v>333</v>
      </c>
      <c r="V17" s="8">
        <f t="shared" si="4"/>
        <v>67</v>
      </c>
      <c r="W17" s="8">
        <f t="shared" si="5"/>
        <v>67</v>
      </c>
      <c r="X17" s="8">
        <f>IF(B17="","",RTD("cqg.rtd", ,"ContractData", $A$5&amp;A17, "P_OI"))</f>
        <v>266</v>
      </c>
      <c r="Y17" s="18">
        <f>IFERROR(U17/X17,"")</f>
        <v>1.2518796992481203</v>
      </c>
      <c r="Z17" s="30">
        <f>IF(RTD("cqg.rtd",,"StudyData",$A$5&amp;A17,"Vol","VolType=Exchange,CoCType=Contract","Vol",$Z$4,"0","ALL",,,"TRUE","T")="",0,RTD("cqg.rtd",,"StudyData",$A$5&amp;A17,"Vol","VolType=Exchange,CoCType=Contract","Vol",$Z$4,"0","ALL",,,"TRUE","T"))</f>
        <v>0</v>
      </c>
      <c r="AA17" s="32">
        <f ca="1">IFERROR(IF(B17="","",RTD("cqg.rtd",,"StudyData","Vol("&amp;$A$5&amp;A17&amp;") when (LocalDay("&amp;$A$5&amp;A17&amp;")="&amp;$C$1&amp;" and LocalHour("&amp;$A$5&amp;A17&amp;")="&amp;$E$1&amp;" and LocalMinute("&amp;$A$5&amp;$A17&amp;")="&amp;$F$1&amp;")","Bar",,"Vol",$Z$4,"0")),"")</f>
        <v>9</v>
      </c>
      <c r="AB17" s="96" t="str">
        <f>B17</f>
        <v>Jun 25</v>
      </c>
      <c r="AC17" s="80"/>
      <c r="AD17" s="80"/>
      <c r="AE17" s="81"/>
    </row>
    <row r="18" spans="1:31" x14ac:dyDescent="0.3">
      <c r="A18" s="3" t="s">
        <v>10</v>
      </c>
      <c r="B18" s="70" t="str">
        <f>RIGHT(RTD("cqg.rtd",,"ContractData",$A$5&amp;A18,"LongDescription"),6)</f>
        <v>Sep 25</v>
      </c>
      <c r="C18" s="60"/>
      <c r="D18" s="60"/>
      <c r="E18" s="60"/>
      <c r="F18" s="7">
        <f>IF(B18="","",RTD("cqg.rtd",,"ContractData",$A$5&amp;A18,"ExpirationDate",,"D"))</f>
        <v>46007</v>
      </c>
      <c r="G18" s="8">
        <f t="shared" ca="1" si="1"/>
        <v>937</v>
      </c>
      <c r="H18" s="25"/>
      <c r="I18" s="13"/>
      <c r="J18" s="8">
        <f t="shared" si="6"/>
        <v>0</v>
      </c>
      <c r="K18" s="51">
        <f>RTD("cqg.rtd", ,"ContractData", $A$5&amp;A18, "T_CVol")</f>
        <v>0</v>
      </c>
      <c r="L18" s="8">
        <f xml:space="preserve"> RTD("cqg.rtd",,"StudyData", $A$5&amp;A18, "MA", "InputChoice=ContractVol,MAType=Sim,Period="&amp;$L$4&amp;"", "MA",,,"all",,,,"T")</f>
        <v>2</v>
      </c>
      <c r="M18" s="31">
        <f t="shared" si="7"/>
        <v>0</v>
      </c>
      <c r="N18" s="8">
        <f>RTD("cqg.rtd", ,"ContractData", $A$5&amp;A18, "Y_CVol")</f>
        <v>0</v>
      </c>
      <c r="O18" s="35" t="str">
        <f t="shared" si="2"/>
        <v/>
      </c>
      <c r="P18" s="123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2</v>
      </c>
      <c r="Q18" s="124"/>
      <c r="R18" s="125"/>
      <c r="S18" s="104"/>
      <c r="T18" s="17">
        <f t="shared" si="3"/>
        <v>2</v>
      </c>
      <c r="U18" s="8">
        <f>IF(B18="","",RTD("cqg.rtd", ,"ContractData", $A$5&amp;A18, "COI"))</f>
        <v>2</v>
      </c>
      <c r="V18" s="8">
        <f t="shared" si="4"/>
        <v>0</v>
      </c>
      <c r="W18" s="8">
        <f t="shared" si="5"/>
        <v>0</v>
      </c>
      <c r="X18" s="8">
        <f>IF(B18="","",RTD("cqg.rtd", ,"ContractData", $A$5&amp;A18, "P_OI"))</f>
        <v>2</v>
      </c>
      <c r="Y18" s="18">
        <f>IFERROR(U18/X18,"")</f>
        <v>1</v>
      </c>
      <c r="Z18" s="30">
        <f>IF(RTD("cqg.rtd",,"StudyData",$A$5&amp;A18,"Vol","VolType=Exchange,CoCType=Contract","Vol",$Z$4,"0","ALL",,,"TRUE","T")="",0,RTD("cqg.rtd",,"StudyData",$A$5&amp;A18,"Vol","VolType=Exchange,CoCType=Contract","Vol",$Z$4,"0","ALL",,,"TRUE","T"))</f>
        <v>0</v>
      </c>
      <c r="AA18" s="32">
        <f ca="1">IFERROR(IF(B18="","",RTD("cqg.rtd",,"StudyData","Vol("&amp;$A$5&amp;A18&amp;") when (LocalDay("&amp;$A$5&amp;A18&amp;")="&amp;$C$1&amp;" and LocalHour("&amp;$A$5&amp;A18&amp;")="&amp;$E$1&amp;" and LocalMinute("&amp;$A$5&amp;$A18&amp;")="&amp;$F$1&amp;")","Bar",,"Vol",$Z$4,"0")),"")</f>
        <v>0</v>
      </c>
      <c r="AB18" s="96" t="str">
        <f>B18</f>
        <v>Sep 25</v>
      </c>
      <c r="AC18" s="80"/>
      <c r="AD18" s="80"/>
      <c r="AE18" s="81"/>
    </row>
    <row r="19" spans="1:31" x14ac:dyDescent="0.3">
      <c r="A19" s="3" t="s">
        <v>11</v>
      </c>
      <c r="B19" s="70" t="str">
        <f>RIGHT(RTD("cqg.rtd",,"ContractData",$A$5&amp;A19,"LongDescription"),6)</f>
        <v>Dec 25</v>
      </c>
      <c r="C19" s="60"/>
      <c r="D19" s="60"/>
      <c r="E19" s="60"/>
      <c r="F19" s="7">
        <f>IF(B19="","",RTD("cqg.rtd",,"ContractData",$A$5&amp;A19,"ExpirationDate",,"D"))</f>
        <v>46098</v>
      </c>
      <c r="G19" s="8">
        <f t="shared" ca="1" si="1"/>
        <v>1028</v>
      </c>
      <c r="H19" s="25"/>
      <c r="I19" s="13"/>
      <c r="J19" s="8">
        <f t="shared" si="6"/>
        <v>0</v>
      </c>
      <c r="K19" s="51">
        <f>RTD("cqg.rtd", ,"ContractData", $A$5&amp;A19, "T_CVol")</f>
        <v>0</v>
      </c>
      <c r="L19" s="8" t="str">
        <f xml:space="preserve"> RTD("cqg.rtd",,"StudyData", $A$5&amp;A19, "MA", "InputChoice=ContractVol,MAType=Sim,Period="&amp;$L$4&amp;"", "MA",,,"all",,,,"T")</f>
        <v/>
      </c>
      <c r="M19" s="31">
        <f t="shared" si="7"/>
        <v>0</v>
      </c>
      <c r="N19" s="8">
        <f>RTD("cqg.rtd", ,"ContractData", $A$5&amp;A19, "Y_CVol")</f>
        <v>0</v>
      </c>
      <c r="O19" s="35" t="str">
        <f t="shared" si="2"/>
        <v/>
      </c>
      <c r="P19" s="123" t="str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/>
      </c>
      <c r="Q19" s="124"/>
      <c r="R19" s="125"/>
      <c r="S19" s="104"/>
      <c r="T19" s="17">
        <f t="shared" si="3"/>
        <v>0</v>
      </c>
      <c r="U19" s="8">
        <f>IF(B19="","",RTD("cqg.rtd", ,"ContractData", $A$5&amp;A19, "COI"))</f>
        <v>0</v>
      </c>
      <c r="V19" s="8">
        <f t="shared" si="4"/>
        <v>0</v>
      </c>
      <c r="W19" s="8">
        <f t="shared" si="5"/>
        <v>0</v>
      </c>
      <c r="X19" s="8">
        <f>IF(B19="","",RTD("cqg.rtd", ,"ContractData", $A$5&amp;A19, "P_OI"))</f>
        <v>0</v>
      </c>
      <c r="Y19" s="18" t="str">
        <f>IFERROR(U19/X19,"")</f>
        <v/>
      </c>
      <c r="Z19" s="30">
        <f>IF(RTD("cqg.rtd",,"StudyData",$A$5&amp;A19,"Vol","VolType=Exchange,CoCType=Contract","Vol",$Z$4,"0","ALL",,,"TRUE","T")="",0,RTD("cqg.rtd",,"StudyData",$A$5&amp;A19,"Vol","VolType=Exchange,CoCType=Contract","Vol",$Z$4,"0","ALL",,,"TRUE","T"))</f>
        <v>0</v>
      </c>
      <c r="AA19" s="32">
        <f ca="1">IFERROR(IF(B19="","",RTD("cqg.rtd",,"StudyData","Vol("&amp;$A$5&amp;A19&amp;") when (LocalDay("&amp;$A$5&amp;A19&amp;")="&amp;$C$1&amp;" and LocalHour("&amp;$A$5&amp;A19&amp;")="&amp;$E$1&amp;" and LocalMinute("&amp;$A$5&amp;$A19&amp;")="&amp;$F$1&amp;")","Bar",,"Vol",$Z$4,"0")),"")</f>
        <v>0</v>
      </c>
      <c r="AB19" s="96" t="str">
        <f>B19</f>
        <v>Dec 25</v>
      </c>
      <c r="AC19" s="80"/>
      <c r="AD19" s="80"/>
      <c r="AE19" s="81"/>
    </row>
    <row r="20" spans="1:31" ht="8.1" customHeight="1" x14ac:dyDescent="0.3">
      <c r="B20" s="68"/>
      <c r="C20" s="20"/>
      <c r="D20" s="20"/>
      <c r="E20" s="20"/>
      <c r="F20" s="21"/>
      <c r="G20" s="20"/>
      <c r="H20" s="26"/>
      <c r="I20" s="20"/>
      <c r="J20" s="20"/>
      <c r="K20" s="20"/>
      <c r="L20" s="56"/>
      <c r="M20" s="22"/>
      <c r="N20" s="20"/>
      <c r="O20" s="37"/>
      <c r="P20" s="77"/>
      <c r="Q20" s="77"/>
      <c r="R20" s="77"/>
      <c r="S20" s="105"/>
      <c r="T20" s="20"/>
      <c r="U20" s="20"/>
      <c r="V20" s="20"/>
      <c r="W20" s="20"/>
      <c r="X20" s="20"/>
      <c r="Y20" s="20"/>
      <c r="Z20" s="20"/>
      <c r="AA20" s="22"/>
      <c r="AB20" s="95"/>
      <c r="AC20" s="23"/>
      <c r="AD20" s="23"/>
      <c r="AE20" s="33"/>
    </row>
    <row r="21" spans="1:31" x14ac:dyDescent="0.3">
      <c r="A21" s="3" t="s">
        <v>12</v>
      </c>
      <c r="B21" s="71" t="str">
        <f>RIGHT(RTD("cqg.rtd",,"ContractData",$A$5&amp;A21,"LongDescription"),6)</f>
        <v>Mar 26</v>
      </c>
      <c r="C21" s="59"/>
      <c r="D21" s="59"/>
      <c r="E21" s="59"/>
      <c r="F21" s="7">
        <f>IF(B21="","",RTD("cqg.rtd",,"ContractData",$A$5&amp;A21,"ExpirationDate",,"D"))</f>
        <v>46189</v>
      </c>
      <c r="G21" s="8">
        <f t="shared" ca="1" si="1"/>
        <v>1119</v>
      </c>
      <c r="H21" s="25"/>
      <c r="I21" s="13"/>
      <c r="J21" s="8">
        <f t="shared" si="6"/>
        <v>0</v>
      </c>
      <c r="K21" s="51">
        <f>RTD("cqg.rtd", ,"ContractData", $A$5&amp;A21, "T_CVol")</f>
        <v>0</v>
      </c>
      <c r="L21" s="8" t="str">
        <f xml:space="preserve"> RTD("cqg.rtd",,"StudyData", $A$5&amp;A21, "MA", "InputChoice=ContractVol,MAType=Sim,Period="&amp;$L$4&amp;"", "MA",,,"all",,,,"T")</f>
        <v/>
      </c>
      <c r="M21" s="31">
        <f t="shared" si="7"/>
        <v>0</v>
      </c>
      <c r="N21" s="8">
        <f>RTD("cqg.rtd", ,"ContractData", $A$5&amp;A21, "Y_CVol")</f>
        <v>0</v>
      </c>
      <c r="O21" s="35" t="str">
        <f t="shared" si="2"/>
        <v/>
      </c>
      <c r="P21" s="123" t="str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/>
      </c>
      <c r="Q21" s="124"/>
      <c r="R21" s="125"/>
      <c r="S21" s="104"/>
      <c r="T21" s="8">
        <f t="shared" si="3"/>
        <v>0</v>
      </c>
      <c r="U21" s="8">
        <f>IF(B21="","",RTD("cqg.rtd", ,"ContractData", $A$5&amp;A21, "COI"))</f>
        <v>0</v>
      </c>
      <c r="V21" s="8">
        <f t="shared" si="4"/>
        <v>0</v>
      </c>
      <c r="W21" s="8">
        <f t="shared" si="5"/>
        <v>0</v>
      </c>
      <c r="X21" s="8">
        <f>IF(B21="","",RTD("cqg.rtd", ,"ContractData", $A$5&amp;A21, "P_OI"))</f>
        <v>0</v>
      </c>
      <c r="Y21" s="18" t="str">
        <f>IFERROR(U21/X21,"")</f>
        <v/>
      </c>
      <c r="Z21" s="30">
        <f>IF(RTD("cqg.rtd",,"StudyData",$A$5&amp;A21,"Vol","VolType=Exchange,CoCType=Contract","Vol",$Z$4,"0","ALL",,,"TRUE","T")="",0,RTD("cqg.rtd",,"StudyData",$A$5&amp;A21,"Vol","VolType=Exchange,CoCType=Contract","Vol",$Z$4,"0","ALL",,,"TRUE","T"))</f>
        <v>0</v>
      </c>
      <c r="AA21" s="32">
        <f ca="1">IFERROR(IF(B21="","",RTD("cqg.rtd",,"StudyData","Vol("&amp;$A$5&amp;A21&amp;") when (LocalDay("&amp;$A$5&amp;A21&amp;")="&amp;$C$1&amp;" and LocalHour("&amp;$A$5&amp;A21&amp;")="&amp;$E$1&amp;" and LocalMinute("&amp;$A$5&amp;$A21&amp;")="&amp;$F$1&amp;")","Bar",,"Vol",$Z$4,"0")),"")</f>
        <v>0</v>
      </c>
      <c r="AB21" s="97" t="str">
        <f>B21</f>
        <v>Mar 26</v>
      </c>
      <c r="AC21" s="82"/>
      <c r="AD21" s="82"/>
      <c r="AE21" s="83"/>
    </row>
    <row r="22" spans="1:31" x14ac:dyDescent="0.3">
      <c r="A22" s="3" t="s">
        <v>13</v>
      </c>
      <c r="B22" s="71" t="str">
        <f>RIGHT(RTD("cqg.rtd",,"ContractData",$A$5&amp;A22,"LongDescription"),6)</f>
        <v>Jun 26</v>
      </c>
      <c r="C22" s="59"/>
      <c r="D22" s="59"/>
      <c r="E22" s="59"/>
      <c r="F22" s="7">
        <f>IF(B22="","",RTD("cqg.rtd",,"ContractData",$A$5&amp;A22,"ExpirationDate",,"D"))</f>
        <v>46280</v>
      </c>
      <c r="G22" s="8">
        <f t="shared" ca="1" si="1"/>
        <v>1210</v>
      </c>
      <c r="H22" s="25"/>
      <c r="I22" s="13"/>
      <c r="J22" s="8">
        <f t="shared" si="6"/>
        <v>0</v>
      </c>
      <c r="K22" s="51">
        <f>RTD("cqg.rtd", ,"ContractData", $A$5&amp;A22, "T_CVol")</f>
        <v>0</v>
      </c>
      <c r="L22" s="8" t="str">
        <f xml:space="preserve"> RTD("cqg.rtd",,"StudyData", $A$5&amp;A22, "MA", "InputChoice=ContractVol,MAType=Sim,Period="&amp;$L$4&amp;"", "MA",,,"all",,,,"T")</f>
        <v/>
      </c>
      <c r="M22" s="31">
        <f t="shared" si="7"/>
        <v>0</v>
      </c>
      <c r="N22" s="8">
        <f>RTD("cqg.rtd", ,"ContractData", $A$5&amp;A22, "Y_CVol")</f>
        <v>0</v>
      </c>
      <c r="O22" s="35" t="str">
        <f t="shared" si="2"/>
        <v/>
      </c>
      <c r="P22" s="123" t="str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/>
      </c>
      <c r="Q22" s="124"/>
      <c r="R22" s="125"/>
      <c r="S22" s="104"/>
      <c r="T22" s="8">
        <f t="shared" si="3"/>
        <v>0</v>
      </c>
      <c r="U22" s="8">
        <f>IF(B22="","",RTD("cqg.rtd", ,"ContractData", $A$5&amp;A22, "COI"))</f>
        <v>0</v>
      </c>
      <c r="V22" s="8">
        <f t="shared" si="4"/>
        <v>0</v>
      </c>
      <c r="W22" s="8">
        <f t="shared" si="5"/>
        <v>0</v>
      </c>
      <c r="X22" s="8">
        <f>IF(B22="","",RTD("cqg.rtd", ,"ContractData", $A$5&amp;A22, "P_OI"))</f>
        <v>0</v>
      </c>
      <c r="Y22" s="18" t="str">
        <f>IFERROR(U22/X22,"")</f>
        <v/>
      </c>
      <c r="Z22" s="30">
        <f>IF(RTD("cqg.rtd",,"StudyData",$A$5&amp;A22,"Vol","VolType=Exchange,CoCType=Contract","Vol",$Z$4,"0","ALL",,,"TRUE","T")="",0,RTD("cqg.rtd",,"StudyData",$A$5&amp;A22,"Vol","VolType=Exchange,CoCType=Contract","Vol",$Z$4,"0","ALL",,,"TRUE","T"))</f>
        <v>0</v>
      </c>
      <c r="AA22" s="32">
        <f ca="1">IFERROR(IF(B22="","",RTD("cqg.rtd",,"StudyData","Vol("&amp;$A$5&amp;A22&amp;") when (LocalDay("&amp;$A$5&amp;A22&amp;")="&amp;$C$1&amp;" and LocalHour("&amp;$A$5&amp;A22&amp;")="&amp;$E$1&amp;" and LocalMinute("&amp;$A$5&amp;$A22&amp;")="&amp;$F$1&amp;")","Bar",,"Vol",$Z$4,"0")),"")</f>
        <v>0</v>
      </c>
      <c r="AB22" s="97" t="str">
        <f>B22</f>
        <v>Jun 26</v>
      </c>
      <c r="AC22" s="82"/>
      <c r="AD22" s="82"/>
      <c r="AE22" s="83"/>
    </row>
    <row r="23" spans="1:31" x14ac:dyDescent="0.3">
      <c r="A23" s="3" t="s">
        <v>14</v>
      </c>
      <c r="B23" s="71" t="str">
        <f>RIGHT(RTD("cqg.rtd",,"ContractData",$A$5&amp;A23,"LongDescription"),6)</f>
        <v>Sep 26</v>
      </c>
      <c r="C23" s="59"/>
      <c r="D23" s="59"/>
      <c r="E23" s="59"/>
      <c r="F23" s="7">
        <f>IF(B23="","",RTD("cqg.rtd",,"ContractData",$A$5&amp;A23,"ExpirationDate",,"D"))</f>
        <v>46371</v>
      </c>
      <c r="G23" s="8">
        <f t="shared" ca="1" si="1"/>
        <v>1301</v>
      </c>
      <c r="H23" s="25"/>
      <c r="I23" s="13"/>
      <c r="J23" s="8">
        <f t="shared" si="6"/>
        <v>0</v>
      </c>
      <c r="K23" s="51">
        <f>RTD("cqg.rtd", ,"ContractData", $A$5&amp;A23, "T_CVol")</f>
        <v>0</v>
      </c>
      <c r="L23" s="8" t="str">
        <f xml:space="preserve"> RTD("cqg.rtd",,"StudyData", $A$5&amp;A23, "MA", "InputChoice=ContractVol,MAType=Sim,Period="&amp;$L$4&amp;"", "MA",,,"all",,,,"T")</f>
        <v/>
      </c>
      <c r="M23" s="31">
        <f t="shared" si="7"/>
        <v>0</v>
      </c>
      <c r="N23" s="8">
        <f>RTD("cqg.rtd", ,"ContractData", $A$5&amp;A23, "Y_CVol")</f>
        <v>0</v>
      </c>
      <c r="O23" s="35" t="str">
        <f t="shared" si="2"/>
        <v/>
      </c>
      <c r="P23" s="123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124"/>
      <c r="R23" s="125"/>
      <c r="S23" s="104"/>
      <c r="T23" s="8">
        <f t="shared" si="3"/>
        <v>0</v>
      </c>
      <c r="U23" s="8">
        <f>IF(B23="","",RTD("cqg.rtd", ,"ContractData", $A$5&amp;A23, "COI"))</f>
        <v>0</v>
      </c>
      <c r="V23" s="8">
        <f t="shared" si="4"/>
        <v>0</v>
      </c>
      <c r="W23" s="8">
        <f t="shared" si="5"/>
        <v>0</v>
      </c>
      <c r="X23" s="8">
        <f>IF(B23="","",RTD("cqg.rtd", ,"ContractData", $A$5&amp;A23, "P_OI"))</f>
        <v>0</v>
      </c>
      <c r="Y23" s="18" t="str">
        <f>IFERROR(U23/X23,"")</f>
        <v/>
      </c>
      <c r="Z23" s="30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32">
        <f ca="1">IFERROR(IF(B23="","",RTD("cqg.rtd",,"StudyData","Vol("&amp;$A$5&amp;A23&amp;") when (LocalDay("&amp;$A$5&amp;A23&amp;")="&amp;$C$1&amp;" and LocalHour("&amp;$A$5&amp;A23&amp;")="&amp;$E$1&amp;" and LocalMinute("&amp;$A$5&amp;$A23&amp;")="&amp;$F$1&amp;")","Bar",,"Vol",$Z$4,"0")),"")</f>
        <v>0</v>
      </c>
      <c r="AB23" s="97" t="str">
        <f>B23</f>
        <v>Sep 26</v>
      </c>
      <c r="AC23" s="82"/>
      <c r="AD23" s="82"/>
      <c r="AE23" s="83"/>
    </row>
    <row r="24" spans="1:31" x14ac:dyDescent="0.3">
      <c r="A24" s="3" t="s">
        <v>15</v>
      </c>
      <c r="B24" s="71" t="str">
        <f>RIGHT(RTD("cqg.rtd",,"ContractData",$A$5&amp;A24,"LongDescription"),6)</f>
        <v>Dec 26</v>
      </c>
      <c r="C24" s="59"/>
      <c r="D24" s="59"/>
      <c r="E24" s="59"/>
      <c r="F24" s="7">
        <f>IF(B24="","",RTD("cqg.rtd",,"ContractData",$A$5&amp;A24,"ExpirationDate",,"D"))</f>
        <v>46462</v>
      </c>
      <c r="G24" s="8">
        <f t="shared" ca="1" si="1"/>
        <v>1392</v>
      </c>
      <c r="H24" s="25"/>
      <c r="I24" s="13"/>
      <c r="J24" s="8">
        <f t="shared" si="6"/>
        <v>0</v>
      </c>
      <c r="K24" s="51">
        <f>RTD("cqg.rtd", ,"ContractData", $A$5&amp;A24, "T_CVol")</f>
        <v>0</v>
      </c>
      <c r="L24" s="8" t="str">
        <f xml:space="preserve"> RTD("cqg.rtd",,"StudyData", $A$5&amp;A24, "MA", "InputChoice=ContractVol,MAType=Sim,Period="&amp;$L$4&amp;"", "MA",,,"all",,,,"T")</f>
        <v/>
      </c>
      <c r="M24" s="31">
        <f t="shared" si="7"/>
        <v>0</v>
      </c>
      <c r="N24" s="8">
        <f>RTD("cqg.rtd", ,"ContractData", $A$5&amp;A24, "Y_CVol")</f>
        <v>0</v>
      </c>
      <c r="O24" s="35" t="str">
        <f t="shared" si="2"/>
        <v/>
      </c>
      <c r="P24" s="123" t="str">
        <f xml:space="preserve"> RTD("cqg.rtd",,"StudyData", "(MA("&amp;$A$5&amp;A24&amp;",Period:="&amp;$Q$5&amp;",MAType:=Sim,InputChoice:=ContractVol) when LocalYear("&amp;$A$5&amp;A24&amp;")="&amp;$R$5&amp;" And (LocalMonth("&amp;$A$5&amp;A24&amp;")="&amp;$P$4&amp;" And LocalDay("&amp;$A$5&amp;A24&amp;")="&amp;$Q$4&amp;" ))", "Bar", "", "Close","D", "0", "all", "", "","False",,)</f>
        <v/>
      </c>
      <c r="Q24" s="124"/>
      <c r="R24" s="125"/>
      <c r="S24" s="104"/>
      <c r="T24" s="8">
        <f t="shared" si="3"/>
        <v>0</v>
      </c>
      <c r="U24" s="8">
        <f>IF(B24="","",RTD("cqg.rtd", ,"ContractData", $A$5&amp;A24, "COI"))</f>
        <v>0</v>
      </c>
      <c r="V24" s="8">
        <f t="shared" si="4"/>
        <v>0</v>
      </c>
      <c r="W24" s="8">
        <f t="shared" si="5"/>
        <v>0</v>
      </c>
      <c r="X24" s="8">
        <f>IF(B24="","",RTD("cqg.rtd", ,"ContractData", $A$5&amp;A24, "P_OI"))</f>
        <v>0</v>
      </c>
      <c r="Y24" s="18" t="str">
        <f>IFERROR(U24/X24,"")</f>
        <v/>
      </c>
      <c r="Z24" s="30">
        <f>IF(RTD("cqg.rtd",,"StudyData",$A$5&amp;A24,"Vol","VolType=Exchange,CoCType=Contract","Vol",$Z$4,"0","ALL",,,"TRUE","T")="",0,RTD("cqg.rtd",,"StudyData",$A$5&amp;A24,"Vol","VolType=Exchange,CoCType=Contract","Vol",$Z$4,"0","ALL",,,"TRUE","T"))</f>
        <v>0</v>
      </c>
      <c r="AA24" s="32">
        <f ca="1">IFERROR(IF(B24="","",RTD("cqg.rtd",,"StudyData","Vol("&amp;$A$5&amp;A24&amp;") when (LocalDay("&amp;$A$5&amp;A24&amp;")="&amp;$C$1&amp;" and LocalHour("&amp;$A$5&amp;A24&amp;")="&amp;$E$1&amp;" and LocalMinute("&amp;$A$5&amp;$A24&amp;")="&amp;$F$1&amp;")","Bar",,"Vol",$Z$4,"0")),"")</f>
        <v>0</v>
      </c>
      <c r="AB24" s="97" t="str">
        <f>B24</f>
        <v>Dec 26</v>
      </c>
      <c r="AC24" s="82"/>
      <c r="AD24" s="82"/>
      <c r="AE24" s="83"/>
    </row>
    <row r="25" spans="1:31" ht="8.1" customHeight="1" x14ac:dyDescent="0.3">
      <c r="B25" s="68"/>
      <c r="C25" s="20"/>
      <c r="D25" s="20"/>
      <c r="E25" s="20"/>
      <c r="F25" s="21"/>
      <c r="G25" s="20"/>
      <c r="H25" s="26"/>
      <c r="I25" s="20"/>
      <c r="J25" s="20"/>
      <c r="K25" s="20"/>
      <c r="L25" s="56"/>
      <c r="M25" s="22"/>
      <c r="N25" s="20"/>
      <c r="O25" s="37"/>
      <c r="P25" s="77"/>
      <c r="Q25" s="77"/>
      <c r="R25" s="77"/>
      <c r="S25" s="105"/>
      <c r="T25" s="20"/>
      <c r="U25" s="20"/>
      <c r="V25" s="20"/>
      <c r="W25" s="20"/>
      <c r="X25" s="20"/>
      <c r="Y25" s="20"/>
      <c r="Z25" s="20"/>
      <c r="AA25" s="22"/>
      <c r="AB25" s="95"/>
      <c r="AC25" s="23"/>
      <c r="AD25" s="23"/>
      <c r="AE25" s="33"/>
    </row>
    <row r="26" spans="1:31" x14ac:dyDescent="0.3">
      <c r="B26" s="121" t="s">
        <v>36</v>
      </c>
      <c r="C26" s="122"/>
      <c r="D26" s="122"/>
      <c r="E26" s="122"/>
      <c r="F26" s="122"/>
      <c r="G26" s="122"/>
      <c r="H26" s="122"/>
      <c r="I26" s="122"/>
      <c r="J26" s="122"/>
      <c r="K26" s="27"/>
      <c r="L26" s="27" t="s">
        <v>29</v>
      </c>
      <c r="M26" s="65"/>
      <c r="N26" s="133">
        <f>RTD("cqg.rtd", ,"SystemInfo", "Linetime")</f>
        <v>45070.371875000004</v>
      </c>
      <c r="O26" s="134"/>
      <c r="P26" s="102"/>
      <c r="Q26" s="102"/>
      <c r="R26" s="120" t="s">
        <v>30</v>
      </c>
      <c r="S26" s="120"/>
      <c r="T26" s="120"/>
      <c r="U26" s="133">
        <f>RTD("cqg.rtd", ,"SystemInfo", "Linetime")+1/24</f>
        <v>45070.413541666669</v>
      </c>
      <c r="V26" s="133"/>
      <c r="W26" s="139" t="s">
        <v>31</v>
      </c>
      <c r="X26" s="139"/>
      <c r="Y26" s="133">
        <f>RTD("cqg.rtd", ,"SystemInfo", "Linetime")+6/24</f>
        <v>45070.621875000004</v>
      </c>
      <c r="Z26" s="133"/>
      <c r="AA26" s="138"/>
      <c r="AB26" s="138"/>
      <c r="AC26" s="84"/>
      <c r="AD26" s="84"/>
      <c r="AE26" s="85"/>
    </row>
    <row r="27" spans="1:31" x14ac:dyDescent="0.3">
      <c r="AC27" s="84"/>
      <c r="AD27" s="84"/>
      <c r="AE27" s="85"/>
    </row>
    <row r="28" spans="1:31" x14ac:dyDescent="0.3">
      <c r="AC28" s="84"/>
      <c r="AD28" s="84"/>
      <c r="AE28" s="85"/>
    </row>
    <row r="29" spans="1:31" x14ac:dyDescent="0.3">
      <c r="AC29" s="84"/>
      <c r="AD29" s="84"/>
      <c r="AE29" s="85"/>
    </row>
    <row r="30" spans="1:31" ht="8.1" customHeight="1" x14ac:dyDescent="0.3">
      <c r="AC30" s="23"/>
      <c r="AD30" s="23"/>
      <c r="AE30" s="33"/>
    </row>
    <row r="31" spans="1:31" x14ac:dyDescent="0.3">
      <c r="AC31" s="86"/>
      <c r="AD31" s="86"/>
      <c r="AE31" s="87"/>
    </row>
    <row r="32" spans="1:31" x14ac:dyDescent="0.3">
      <c r="AC32" s="86"/>
      <c r="AD32" s="86"/>
      <c r="AE32" s="87"/>
    </row>
    <row r="33" spans="18:31" x14ac:dyDescent="0.3">
      <c r="AC33" s="86"/>
      <c r="AD33" s="86"/>
      <c r="AE33" s="87"/>
    </row>
    <row r="34" spans="18:31" x14ac:dyDescent="0.3">
      <c r="AC34" s="86"/>
      <c r="AD34" s="86"/>
      <c r="AE34" s="87"/>
    </row>
    <row r="35" spans="18:31" ht="8.1" customHeight="1" x14ac:dyDescent="0.3">
      <c r="R35" s="11"/>
      <c r="S35" s="11"/>
      <c r="AC35" s="23"/>
      <c r="AD35" s="23"/>
      <c r="AE35" s="33"/>
    </row>
    <row r="36" spans="18:31" x14ac:dyDescent="0.3">
      <c r="R36" s="11"/>
      <c r="S36" s="11"/>
      <c r="AC36" s="88"/>
      <c r="AD36" s="88"/>
      <c r="AE36" s="89"/>
    </row>
    <row r="37" spans="18:31" x14ac:dyDescent="0.3">
      <c r="R37" s="11"/>
      <c r="S37" s="11"/>
      <c r="AC37" s="88"/>
      <c r="AD37" s="88"/>
      <c r="AE37" s="89"/>
    </row>
    <row r="38" spans="18:31" x14ac:dyDescent="0.3">
      <c r="R38" s="11"/>
      <c r="S38" s="11"/>
      <c r="AC38" s="88"/>
      <c r="AD38" s="88"/>
      <c r="AE38" s="89"/>
    </row>
    <row r="39" spans="18:31" x14ac:dyDescent="0.3">
      <c r="R39" s="11"/>
      <c r="S39" s="11"/>
      <c r="AC39" s="88"/>
      <c r="AD39" s="88"/>
      <c r="AE39" s="89"/>
    </row>
    <row r="40" spans="18:31" ht="8.1" customHeight="1" x14ac:dyDescent="0.3">
      <c r="AC40" s="23"/>
      <c r="AD40" s="23"/>
      <c r="AE40" s="33"/>
    </row>
    <row r="41" spans="18:31" x14ac:dyDescent="0.3">
      <c r="AC41" s="90"/>
      <c r="AD41" s="90"/>
      <c r="AE41" s="91"/>
    </row>
    <row r="42" spans="18:31" x14ac:dyDescent="0.3">
      <c r="AC42" s="90"/>
      <c r="AD42" s="90"/>
      <c r="AE42" s="91"/>
    </row>
    <row r="43" spans="18:31" x14ac:dyDescent="0.3">
      <c r="AC43" s="90"/>
      <c r="AD43" s="90"/>
      <c r="AE43" s="91"/>
    </row>
    <row r="44" spans="18:31" x14ac:dyDescent="0.3">
      <c r="AC44" s="90"/>
      <c r="AD44" s="90"/>
      <c r="AE44" s="91"/>
    </row>
    <row r="45" spans="18:31" ht="8.1" customHeight="1" x14ac:dyDescent="0.3">
      <c r="AC45" s="23"/>
      <c r="AD45" s="23"/>
      <c r="AE45" s="33"/>
    </row>
    <row r="46" spans="18:31" x14ac:dyDescent="0.3">
      <c r="AC46" s="92"/>
      <c r="AD46" s="92"/>
      <c r="AE46" s="93"/>
    </row>
    <row r="47" spans="18:31" x14ac:dyDescent="0.3">
      <c r="AC47" s="92"/>
      <c r="AD47" s="92"/>
      <c r="AE47" s="93"/>
    </row>
    <row r="48" spans="18:31" x14ac:dyDescent="0.3">
      <c r="AC48" s="92"/>
      <c r="AD48" s="92"/>
      <c r="AE48" s="93"/>
    </row>
    <row r="49" spans="29:31" x14ac:dyDescent="0.3">
      <c r="AC49" s="92"/>
      <c r="AD49" s="92"/>
      <c r="AE49" s="93"/>
    </row>
    <row r="50" spans="29:31" x14ac:dyDescent="0.3">
      <c r="AC50" s="137">
        <f>RTD("cqg.rtd", ,"SystemInfo", "Linetime")+14/24</f>
        <v>45070.95520833334</v>
      </c>
      <c r="AD50" s="137"/>
      <c r="AE50" s="49"/>
    </row>
    <row r="60" spans="29:31" ht="17.25" customHeight="1" x14ac:dyDescent="0.3"/>
    <row r="61" spans="29:31" ht="17.25" customHeight="1" x14ac:dyDescent="0.3"/>
  </sheetData>
  <sheetProtection algorithmName="SHA-512" hashValue="F1Dhmc3Ff7DamVtCjhlrCykqJkYKO4RtKlIUDSlWvtRU/ebtyQHFJ7i97u3/DVwucNEQV+5fW1OqrGYVvXJU0Q==" saltValue="QXQGA6sUiOMGzFb7T95Zmw==" spinCount="100000" sheet="1" objects="1" scenarios="1" selectLockedCells="1"/>
  <mergeCells count="39">
    <mergeCell ref="P24:R24"/>
    <mergeCell ref="J5:K5"/>
    <mergeCell ref="P6:R6"/>
    <mergeCell ref="P7:R7"/>
    <mergeCell ref="P11:R11"/>
    <mergeCell ref="P17:R17"/>
    <mergeCell ref="P18:R18"/>
    <mergeCell ref="N26:O26"/>
    <mergeCell ref="Y2:Z3"/>
    <mergeCell ref="AC50:AD50"/>
    <mergeCell ref="AA26:AB26"/>
    <mergeCell ref="Y26:Z26"/>
    <mergeCell ref="W26:X26"/>
    <mergeCell ref="AB4:AE5"/>
    <mergeCell ref="Z5:AA5"/>
    <mergeCell ref="V4:W5"/>
    <mergeCell ref="X4:Y5"/>
    <mergeCell ref="U26:V26"/>
    <mergeCell ref="T4:U5"/>
    <mergeCell ref="AA2:AB3"/>
    <mergeCell ref="J2:X3"/>
    <mergeCell ref="P22:R22"/>
    <mergeCell ref="P23:R23"/>
    <mergeCell ref="B4:E5"/>
    <mergeCell ref="B2:D3"/>
    <mergeCell ref="E2:F3"/>
    <mergeCell ref="R26:T26"/>
    <mergeCell ref="B26:J26"/>
    <mergeCell ref="P12:R12"/>
    <mergeCell ref="P13:R13"/>
    <mergeCell ref="P14:R14"/>
    <mergeCell ref="P16:R16"/>
    <mergeCell ref="J4:K4"/>
    <mergeCell ref="G2:I3"/>
    <mergeCell ref="N4:O5"/>
    <mergeCell ref="P19:R19"/>
    <mergeCell ref="P21:R21"/>
    <mergeCell ref="P8:R8"/>
    <mergeCell ref="P9:R9"/>
  </mergeCells>
  <conditionalFormatting sqref="K6">
    <cfRule type="expression" dxfId="51" priority="244">
      <formula>M6=1</formula>
    </cfRule>
  </conditionalFormatting>
  <conditionalFormatting sqref="K7">
    <cfRule type="expression" dxfId="50" priority="243">
      <formula>M7=1</formula>
    </cfRule>
  </conditionalFormatting>
  <conditionalFormatting sqref="K8:K9 K21:K24 K11:K19">
    <cfRule type="expression" dxfId="49" priority="242">
      <formula>M8=1</formula>
    </cfRule>
  </conditionalFormatting>
  <conditionalFormatting sqref="B6:E6">
    <cfRule type="expression" dxfId="48" priority="237">
      <formula>H6=1</formula>
    </cfRule>
  </conditionalFormatting>
  <conditionalFormatting sqref="B7:E7">
    <cfRule type="expression" dxfId="47" priority="231">
      <formula>H7=1</formula>
    </cfRule>
  </conditionalFormatting>
  <conditionalFormatting sqref="B8:E8">
    <cfRule type="expression" dxfId="46" priority="229">
      <formula>H8=1</formula>
    </cfRule>
  </conditionalFormatting>
  <conditionalFormatting sqref="B9:E9">
    <cfRule type="expression" dxfId="45" priority="227">
      <formula>H9=1</formula>
    </cfRule>
  </conditionalFormatting>
  <conditionalFormatting sqref="B11:E11">
    <cfRule type="expression" dxfId="44" priority="225">
      <formula>H11=1</formula>
    </cfRule>
  </conditionalFormatting>
  <conditionalFormatting sqref="B12:E12">
    <cfRule type="expression" dxfId="43" priority="223">
      <formula>H12=1</formula>
    </cfRule>
  </conditionalFormatting>
  <conditionalFormatting sqref="B13:E13">
    <cfRule type="expression" dxfId="42" priority="221">
      <formula>H13=1</formula>
    </cfRule>
  </conditionalFormatting>
  <conditionalFormatting sqref="B14:E14">
    <cfRule type="expression" dxfId="41" priority="219">
      <formula>H14=1</formula>
    </cfRule>
  </conditionalFormatting>
  <conditionalFormatting sqref="K20">
    <cfRule type="expression" dxfId="40" priority="210">
      <formula>M20=1</formula>
    </cfRule>
  </conditionalFormatting>
  <conditionalFormatting sqref="K25">
    <cfRule type="expression" dxfId="39" priority="202">
      <formula>M25=1</formula>
    </cfRule>
  </conditionalFormatting>
  <conditionalFormatting sqref="Z6">
    <cfRule type="expression" dxfId="38" priority="174">
      <formula>Z6&gt;AA6</formula>
    </cfRule>
  </conditionalFormatting>
  <conditionalFormatting sqref="AB16:AC19">
    <cfRule type="expression" dxfId="37" priority="261">
      <formula>#REF!&lt;9</formula>
    </cfRule>
  </conditionalFormatting>
  <conditionalFormatting sqref="AD16:AE19">
    <cfRule type="expression" dxfId="36" priority="262">
      <formula>AF16&lt;9</formula>
    </cfRule>
  </conditionalFormatting>
  <conditionalFormatting sqref="Y15">
    <cfRule type="expression" dxfId="35" priority="114">
      <formula>AA15=1</formula>
    </cfRule>
  </conditionalFormatting>
  <conditionalFormatting sqref="AD15">
    <cfRule type="colorScale" priority="11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0">
    <cfRule type="expression" dxfId="34" priority="112">
      <formula>AA20=1</formula>
    </cfRule>
  </conditionalFormatting>
  <conditionalFormatting sqref="AD20">
    <cfRule type="colorScale" priority="11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5">
    <cfRule type="expression" dxfId="33" priority="110">
      <formula>AA25=1</formula>
    </cfRule>
  </conditionalFormatting>
  <conditionalFormatting sqref="AD25">
    <cfRule type="colorScale" priority="10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0">
    <cfRule type="colorScale" priority="10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5">
    <cfRule type="colorScale" priority="10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0">
    <cfRule type="colorScale" priority="9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5">
    <cfRule type="colorScale" priority="9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:AE6">
    <cfRule type="expression" dxfId="32" priority="95">
      <formula>H6=1</formula>
    </cfRule>
  </conditionalFormatting>
  <conditionalFormatting sqref="AB7:AE7">
    <cfRule type="expression" dxfId="31" priority="94">
      <formula>H7=1</formula>
    </cfRule>
  </conditionalFormatting>
  <conditionalFormatting sqref="AB8:AE8">
    <cfRule type="expression" dxfId="30" priority="93">
      <formula>H8=1</formula>
    </cfRule>
  </conditionalFormatting>
  <conditionalFormatting sqref="AB9:AE9">
    <cfRule type="expression" dxfId="29" priority="92">
      <formula>H9=1</formula>
    </cfRule>
  </conditionalFormatting>
  <conditionalFormatting sqref="AB11:AE11">
    <cfRule type="expression" dxfId="28" priority="91">
      <formula>H11=1</formula>
    </cfRule>
  </conditionalFormatting>
  <conditionalFormatting sqref="AB12:AE12">
    <cfRule type="expression" dxfId="27" priority="90">
      <formula>H12=1</formula>
    </cfRule>
  </conditionalFormatting>
  <conditionalFormatting sqref="AB13:AE13">
    <cfRule type="expression" dxfId="26" priority="89">
      <formula>H13=1</formula>
    </cfRule>
  </conditionalFormatting>
  <conditionalFormatting sqref="AB14:AE14">
    <cfRule type="expression" dxfId="25" priority="88">
      <formula>H14=1</formula>
    </cfRule>
  </conditionalFormatting>
  <conditionalFormatting sqref="J6:J9 J11:J14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{0BC2BA55-4E44-4B7A-8278-9CC76E7F8215}</x14:id>
        </ext>
      </extLst>
    </cfRule>
  </conditionalFormatting>
  <conditionalFormatting sqref="J16:J19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{9BA3521C-FE9C-4C58-9723-99397651BF47}</x14:id>
        </ext>
      </extLst>
    </cfRule>
  </conditionalFormatting>
  <conditionalFormatting sqref="J21:J24">
    <cfRule type="dataBar" priority="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{6502A438-A962-4CAE-B9FF-BCC7DF1618F0}</x14:id>
        </ext>
      </extLst>
    </cfRule>
  </conditionalFormatting>
  <conditionalFormatting sqref="T6:T9 T11:T14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{6D1DE649-F211-4BB3-B03F-6205335DAF84}</x14:id>
        </ext>
      </extLst>
    </cfRule>
  </conditionalFormatting>
  <conditionalFormatting sqref="T16:T19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{F2C3E2B3-BA04-4951-A455-FC88ADF32BC2}</x14:id>
        </ext>
      </extLst>
    </cfRule>
  </conditionalFormatting>
  <conditionalFormatting sqref="T21:T24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{AC57CE18-FFFE-4CA3-B632-C64CC8426D8F}</x14:id>
        </ext>
      </extLst>
    </cfRule>
  </conditionalFormatting>
  <conditionalFormatting sqref="W6:W9">
    <cfRule type="dataBar" priority="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{8F5CB646-8298-402E-A5D8-F94A6E7516A6}</x14:id>
        </ext>
      </extLst>
    </cfRule>
  </conditionalFormatting>
  <conditionalFormatting sqref="W16:W19">
    <cfRule type="dataBar" priority="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{EFAA379C-AA04-4F98-826A-CE7FB52DD376}</x14:id>
        </ext>
      </extLst>
    </cfRule>
  </conditionalFormatting>
  <conditionalFormatting sqref="W21:W24">
    <cfRule type="dataBar" priority="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{3E2A5A63-A0DF-4A75-AD85-D39458EB89B4}</x14:id>
        </ext>
      </extLst>
    </cfRule>
  </conditionalFormatting>
  <conditionalFormatting sqref="O16:O19">
    <cfRule type="colorScale" priority="5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1:O24">
    <cfRule type="colorScale" priority="5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6:Y9 Y11:Y14">
    <cfRule type="colorScale" priority="4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16:Y19">
    <cfRule type="colorScale" priority="4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21:Y24">
    <cfRule type="colorScale" priority="4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 O11:O14">
    <cfRule type="colorScale" priority="32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Z7">
    <cfRule type="expression" dxfId="24" priority="31">
      <formula>Z7&gt;AA7</formula>
    </cfRule>
  </conditionalFormatting>
  <conditionalFormatting sqref="Z8">
    <cfRule type="expression" dxfId="23" priority="30">
      <formula>Z8&gt;AA8</formula>
    </cfRule>
  </conditionalFormatting>
  <conditionalFormatting sqref="Z9">
    <cfRule type="expression" dxfId="22" priority="29">
      <formula>Z9&gt;AA9</formula>
    </cfRule>
  </conditionalFormatting>
  <conditionalFormatting sqref="Z11">
    <cfRule type="expression" dxfId="21" priority="28">
      <formula>Z11&gt;AA11</formula>
    </cfRule>
  </conditionalFormatting>
  <conditionalFormatting sqref="Z12">
    <cfRule type="expression" dxfId="20" priority="27">
      <formula>Z12&gt;AA12</formula>
    </cfRule>
  </conditionalFormatting>
  <conditionalFormatting sqref="Z13">
    <cfRule type="expression" dxfId="19" priority="26">
      <formula>Z13&gt;AA13</formula>
    </cfRule>
  </conditionalFormatting>
  <conditionalFormatting sqref="Z14">
    <cfRule type="expression" dxfId="18" priority="25">
      <formula>Z14&gt;AA14</formula>
    </cfRule>
  </conditionalFormatting>
  <conditionalFormatting sqref="Z16">
    <cfRule type="expression" dxfId="17" priority="24">
      <formula>Z16&gt;AA16</formula>
    </cfRule>
  </conditionalFormatting>
  <conditionalFormatting sqref="Z17">
    <cfRule type="expression" dxfId="16" priority="23">
      <formula>Z17&gt;AA17</formula>
    </cfRule>
  </conditionalFormatting>
  <conditionalFormatting sqref="Z18">
    <cfRule type="expression" dxfId="15" priority="22">
      <formula>Z18&gt;AA18</formula>
    </cfRule>
  </conditionalFormatting>
  <conditionalFormatting sqref="Z19">
    <cfRule type="expression" dxfId="14" priority="21">
      <formula>Z19&gt;AA19</formula>
    </cfRule>
  </conditionalFormatting>
  <conditionalFormatting sqref="Z21">
    <cfRule type="expression" dxfId="13" priority="20">
      <formula>Z21&gt;AA21</formula>
    </cfRule>
  </conditionalFormatting>
  <conditionalFormatting sqref="Z22">
    <cfRule type="expression" dxfId="12" priority="19">
      <formula>Z22&gt;AA22</formula>
    </cfRule>
  </conditionalFormatting>
  <conditionalFormatting sqref="Z23">
    <cfRule type="expression" dxfId="11" priority="18">
      <formula>Z23&gt;AA23</formula>
    </cfRule>
  </conditionalFormatting>
  <conditionalFormatting sqref="Z24">
    <cfRule type="expression" dxfId="10" priority="17">
      <formula>Z24&gt;AA24</formula>
    </cfRule>
  </conditionalFormatting>
  <conditionalFormatting sqref="K10">
    <cfRule type="expression" dxfId="9" priority="4">
      <formula>M10=1</formula>
    </cfRule>
  </conditionalFormatting>
  <conditionalFormatting sqref="Y10">
    <cfRule type="expression" dxfId="8" priority="3">
      <formula>AA10=1</formula>
    </cfRule>
  </conditionalFormatting>
  <conditionalFormatting sqref="AD10">
    <cfRule type="colorScale" priority="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10">
    <cfRule type="top10" dxfId="7" priority="5" rank="1"/>
  </conditionalFormatting>
  <conditionalFormatting sqref="K10">
    <cfRule type="top10" dxfId="6" priority="6" rank="1"/>
  </conditionalFormatting>
  <conditionalFormatting sqref="U10">
    <cfRule type="top10" dxfId="5" priority="7" rank="5"/>
  </conditionalFormatting>
  <conditionalFormatting sqref="P10:S10">
    <cfRule type="top10" dxfId="4" priority="8" rank="3"/>
  </conditionalFormatting>
  <conditionalFormatting sqref="W11:W14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{3BAEF9FD-288E-4040-8D39-78BA3023784D}</x14:id>
        </ext>
      </extLst>
    </cfRule>
  </conditionalFormatting>
  <conditionalFormatting sqref="L6:L9 L11:L25">
    <cfRule type="top10" dxfId="3" priority="267" rank="1"/>
  </conditionalFormatting>
  <conditionalFormatting sqref="K6:K9 K11:K25">
    <cfRule type="top10" dxfId="2" priority="269" rank="1"/>
  </conditionalFormatting>
  <conditionalFormatting sqref="U6:U9 U11:U25">
    <cfRule type="top10" dxfId="1" priority="271" rank="5"/>
  </conditionalFormatting>
  <conditionalFormatting sqref="P6:S9 P11:S25">
    <cfRule type="top10" dxfId="0" priority="273" rank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C2BA55-4E44-4B7A-8278-9CC76E7F8215}">
            <x14:dataBar minLength="0" maxLength="100" negativeBarColorSameAsPositive="1" axisPosition="none">
              <x14:cfvo type="min"/>
              <x14:cfvo type="max"/>
            </x14:dataBar>
          </x14:cfRule>
          <xm:sqref>J6:J9 J11:J14</xm:sqref>
        </x14:conditionalFormatting>
        <x14:conditionalFormatting xmlns:xm="http://schemas.microsoft.com/office/excel/2006/main">
          <x14:cfRule type="dataBar" id="{9BA3521C-FE9C-4C58-9723-99397651BF47}">
            <x14:dataBar minLength="0" maxLength="100" negativeBarColorSameAsPositive="1" axisPosition="none">
              <x14:cfvo type="min"/>
              <x14:cfvo type="max"/>
            </x14:dataBar>
          </x14:cfRule>
          <xm:sqref>J16:J19</xm:sqref>
        </x14:conditionalFormatting>
        <x14:conditionalFormatting xmlns:xm="http://schemas.microsoft.com/office/excel/2006/main">
          <x14:cfRule type="dataBar" id="{6502A438-A962-4CAE-B9FF-BCC7DF1618F0}">
            <x14:dataBar minLength="0" maxLength="100" negativeBarColorSameAsPositive="1" axisPosition="none">
              <x14:cfvo type="min"/>
              <x14:cfvo type="max"/>
            </x14:dataBar>
          </x14:cfRule>
          <xm:sqref>J21:J24</xm:sqref>
        </x14:conditionalFormatting>
        <x14:conditionalFormatting xmlns:xm="http://schemas.microsoft.com/office/excel/2006/main">
          <x14:cfRule type="dataBar" id="{6D1DE649-F211-4BB3-B03F-6205335DAF84}">
            <x14:dataBar minLength="0" maxLength="100" negativeBarColorSameAsPositive="1" axisPosition="none">
              <x14:cfvo type="min"/>
              <x14:cfvo type="max"/>
            </x14:dataBar>
          </x14:cfRule>
          <xm:sqref>T6:T9 T11:T14</xm:sqref>
        </x14:conditionalFormatting>
        <x14:conditionalFormatting xmlns:xm="http://schemas.microsoft.com/office/excel/2006/main">
          <x14:cfRule type="dataBar" id="{F2C3E2B3-BA04-4951-A455-FC88ADF32BC2}">
            <x14:dataBar minLength="0" maxLength="100" negativeBarColorSameAsPositive="1" axisPosition="none">
              <x14:cfvo type="min"/>
              <x14:cfvo type="max"/>
            </x14:dataBar>
          </x14:cfRule>
          <xm:sqref>T16:T19</xm:sqref>
        </x14:conditionalFormatting>
        <x14:conditionalFormatting xmlns:xm="http://schemas.microsoft.com/office/excel/2006/main">
          <x14:cfRule type="dataBar" id="{AC57CE18-FFFE-4CA3-B632-C64CC8426D8F}">
            <x14:dataBar minLength="0" maxLength="100" negativeBarColorSameAsPositive="1" axisPosition="none">
              <x14:cfvo type="min"/>
              <x14:cfvo type="max"/>
            </x14:dataBar>
          </x14:cfRule>
          <xm:sqref>T21:T24</xm:sqref>
        </x14:conditionalFormatting>
        <x14:conditionalFormatting xmlns:xm="http://schemas.microsoft.com/office/excel/2006/main">
          <x14:cfRule type="dataBar" id="{8F5CB646-8298-402E-A5D8-F94A6E751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W6:W9</xm:sqref>
        </x14:conditionalFormatting>
        <x14:conditionalFormatting xmlns:xm="http://schemas.microsoft.com/office/excel/2006/main">
          <x14:cfRule type="dataBar" id="{EFAA379C-AA04-4F98-826A-CE7FB52DD3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W16:W19</xm:sqref>
        </x14:conditionalFormatting>
        <x14:conditionalFormatting xmlns:xm="http://schemas.microsoft.com/office/excel/2006/main">
          <x14:cfRule type="dataBar" id="{3E2A5A63-A0DF-4A75-AD85-D39458EB89B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W21:W24</xm:sqref>
        </x14:conditionalFormatting>
        <x14:conditionalFormatting xmlns:xm="http://schemas.microsoft.com/office/excel/2006/main">
          <x14:cfRule type="dataBar" id="{3BAEF9FD-288E-4040-8D39-78BA302378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W11:W14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2023-05-24T13:55:31Z</dcterms:modified>
</cp:coreProperties>
</file>