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showHorizontalScroll="0" showVerticalScroll="0" showSheetTabs="0" xWindow="0" yWindow="0" windowWidth="28800" windowHeight="15870"/>
  </bookViews>
  <sheets>
    <sheet name="All Contracts" sheetId="1" r:id="rId1"/>
  </sheets>
  <calcPr calcId="162913"/>
</workbook>
</file>

<file path=xl/calcChain.xml><?xml version="1.0" encoding="utf-8"?>
<calcChain xmlns="http://schemas.openxmlformats.org/spreadsheetml/2006/main">
  <c r="R5" i="1" l="1"/>
  <c r="A1" i="1"/>
  <c r="L7" i="1"/>
  <c r="B8" i="1"/>
  <c r="K7" i="1"/>
  <c r="P8" i="1"/>
  <c r="N8" i="1"/>
  <c r="K6" i="1"/>
  <c r="Z6" i="1"/>
  <c r="P7" i="1"/>
  <c r="N7" i="1"/>
  <c r="K8" i="1"/>
  <c r="H7" i="1"/>
  <c r="B6" i="1"/>
  <c r="Z7" i="1"/>
  <c r="L8" i="1"/>
  <c r="H9" i="1"/>
  <c r="B9" i="1"/>
  <c r="C13" i="1"/>
  <c r="Z8" i="1"/>
  <c r="H6" i="1"/>
  <c r="B7" i="1"/>
  <c r="D1" i="1"/>
  <c r="N6" i="1"/>
  <c r="F1" i="1"/>
  <c r="H8" i="1"/>
  <c r="L6" i="1"/>
  <c r="AC35" i="1"/>
  <c r="U11" i="1"/>
  <c r="N11" i="1"/>
  <c r="Y11" i="1"/>
  <c r="AA2" i="1"/>
  <c r="E2" i="1"/>
  <c r="O6" i="1" l="1"/>
  <c r="B1" i="1"/>
  <c r="C1" i="1" s="1"/>
  <c r="AB9" i="1"/>
  <c r="M6" i="1"/>
  <c r="J6" i="1"/>
  <c r="AB8" i="1"/>
  <c r="O8" i="1"/>
  <c r="J8" i="1"/>
  <c r="M8" i="1"/>
  <c r="J7" i="1"/>
  <c r="M7" i="1"/>
  <c r="O7" i="1"/>
  <c r="E1" i="1"/>
  <c r="AB7" i="1"/>
  <c r="AB6" i="1"/>
  <c r="L9" i="1"/>
  <c r="K9" i="1"/>
  <c r="P9" i="1"/>
  <c r="N9" i="1"/>
  <c r="Z9" i="1"/>
  <c r="AA9" i="1"/>
  <c r="X9" i="1"/>
  <c r="U9" i="1"/>
  <c r="F9" i="1"/>
  <c r="U6" i="1"/>
  <c r="U7" i="1"/>
  <c r="F7" i="1"/>
  <c r="X6" i="1"/>
  <c r="F8" i="1"/>
  <c r="U8" i="1"/>
  <c r="X7" i="1"/>
  <c r="F6" i="1"/>
  <c r="X8" i="1"/>
  <c r="P6" i="1"/>
  <c r="AA6" i="1"/>
  <c r="G9" i="1" l="1"/>
  <c r="V9" i="1"/>
  <c r="W9" i="1" s="1"/>
  <c r="Y9" i="1"/>
  <c r="T9" i="1"/>
  <c r="M9" i="1"/>
  <c r="J9" i="1"/>
  <c r="O9" i="1"/>
  <c r="Y8" i="1"/>
  <c r="Y6" i="1"/>
  <c r="Y7" i="1"/>
  <c r="T8" i="1"/>
  <c r="V8" i="1"/>
  <c r="W8" i="1" s="1"/>
  <c r="G8" i="1"/>
  <c r="G7" i="1"/>
  <c r="G6" i="1"/>
  <c r="T6" i="1"/>
  <c r="V6" i="1"/>
  <c r="W6" i="1" s="1"/>
  <c r="T7" i="1"/>
  <c r="V7" i="1"/>
  <c r="W7" i="1" s="1"/>
  <c r="AA8" i="1"/>
  <c r="AA7" i="1"/>
</calcChain>
</file>

<file path=xl/sharedStrings.xml><?xml version="1.0" encoding="utf-8"?>
<sst xmlns="http://schemas.openxmlformats.org/spreadsheetml/2006/main" count="28" uniqueCount="27">
  <si>
    <t>??1</t>
  </si>
  <si>
    <t>??2</t>
  </si>
  <si>
    <t>??3</t>
  </si>
  <si>
    <t>??4</t>
  </si>
  <si>
    <t>Expiration</t>
  </si>
  <si>
    <t>Days</t>
  </si>
  <si>
    <t>Until</t>
  </si>
  <si>
    <t>Date</t>
  </si>
  <si>
    <t>Today's Daily</t>
  </si>
  <si>
    <t>Traded Volume</t>
  </si>
  <si>
    <t>Vol MA</t>
  </si>
  <si>
    <t>Volume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</si>
  <si>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</si>
  <si>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</si>
  <si>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</si>
  <si>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</si>
  <si>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</si>
  <si>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</si>
  <si>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</si>
  <si>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</si>
  <si>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>MA:</t>
  </si>
  <si>
    <t>Month</t>
  </si>
  <si>
    <t xml:space="preserve">London: </t>
  </si>
  <si>
    <t xml:space="preserve">  Copyright © 2023                       Designed by Thom Hartle</t>
  </si>
  <si>
    <t>Tokyo</t>
  </si>
  <si>
    <t>JGB</t>
  </si>
  <si>
    <t>CQG 10 Year JGB Volume and Open Interest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</si>
</sst>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sz val="1"/>
      <color theme="4" tint="0.79998168889431442"/>
      <name val="Century Gothic"/>
      <family val="2"/>
    </font>
    <font>
      <sz val="22"/>
      <color rgb="FF00B050"/>
      <name val="Century Gothic"/>
      <family val="2"/>
    </font>
    <font>
      <sz val="18"/>
      <color rgb="FF00B050"/>
      <name val="Century Gothic"/>
      <family val="2"/>
    </font>
    <font>
      <b/>
      <sz val="28"/>
      <color theme="4"/>
      <name val="Century Gothic"/>
      <family val="2"/>
    </font>
    <font>
      <b/>
      <sz val="26"/>
      <color theme="4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CB6D51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A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9C0BB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3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theme="3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shrinkToFit="1"/>
    </xf>
    <xf numFmtId="164" fontId="3" fillId="2" borderId="1" xfId="0" applyNumberFormat="1" applyFont="1" applyFill="1" applyBorder="1" applyAlignment="1">
      <alignment horizontal="left"/>
    </xf>
    <xf numFmtId="3" fontId="3" fillId="2" borderId="1" xfId="0" applyNumberFormat="1" applyFont="1" applyFill="1" applyBorder="1"/>
    <xf numFmtId="164" fontId="3" fillId="2" borderId="2" xfId="0" applyNumberFormat="1" applyFont="1" applyFill="1" applyBorder="1" applyAlignment="1">
      <alignment horizontal="left"/>
    </xf>
    <xf numFmtId="3" fontId="3" fillId="2" borderId="2" xfId="0" applyNumberFormat="1" applyFont="1" applyFill="1" applyBorder="1"/>
    <xf numFmtId="0" fontId="3" fillId="2" borderId="0" xfId="0" applyFont="1" applyFill="1" applyAlignment="1">
      <alignment shrinkToFit="1"/>
    </xf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10" fontId="3" fillId="2" borderId="6" xfId="0" applyNumberFormat="1" applyFont="1" applyFill="1" applyBorder="1"/>
    <xf numFmtId="3" fontId="3" fillId="3" borderId="7" xfId="0" applyNumberFormat="1" applyFont="1" applyFill="1" applyBorder="1"/>
    <xf numFmtId="164" fontId="3" fillId="3" borderId="7" xfId="0" applyNumberFormat="1" applyFont="1" applyFill="1" applyBorder="1" applyAlignment="1">
      <alignment horizontal="left"/>
    </xf>
    <xf numFmtId="0" fontId="3" fillId="3" borderId="7" xfId="0" applyFont="1" applyFill="1" applyBorder="1"/>
    <xf numFmtId="10" fontId="3" fillId="3" borderId="7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3" borderId="0" xfId="0" applyNumberFormat="1" applyFont="1" applyFill="1" applyBorder="1"/>
    <xf numFmtId="0" fontId="3" fillId="3" borderId="8" xfId="0" applyFont="1" applyFill="1" applyBorder="1"/>
    <xf numFmtId="0" fontId="3" fillId="2" borderId="9" xfId="0" applyFont="1" applyFill="1" applyBorder="1"/>
    <xf numFmtId="0" fontId="3" fillId="2" borderId="5" xfId="0" applyFont="1" applyFill="1" applyBorder="1"/>
    <xf numFmtId="3" fontId="3" fillId="3" borderId="11" xfId="0" applyNumberFormat="1" applyFont="1" applyFill="1" applyBorder="1"/>
    <xf numFmtId="10" fontId="3" fillId="2" borderId="1" xfId="0" applyNumberFormat="1" applyFont="1" applyFill="1" applyBorder="1" applyAlignment="1">
      <alignment shrinkToFit="1"/>
    </xf>
    <xf numFmtId="10" fontId="3" fillId="2" borderId="2" xfId="0" applyNumberFormat="1" applyFont="1" applyFill="1" applyBorder="1" applyAlignment="1">
      <alignment shrinkToFit="1"/>
    </xf>
    <xf numFmtId="10" fontId="3" fillId="3" borderId="7" xfId="0" applyNumberFormat="1" applyFont="1" applyFill="1" applyBorder="1" applyAlignment="1">
      <alignment shrinkToFit="1"/>
    </xf>
    <xf numFmtId="0" fontId="6" fillId="4" borderId="0" xfId="0" applyFont="1" applyFill="1"/>
    <xf numFmtId="0" fontId="6" fillId="5" borderId="0" xfId="0" applyFont="1" applyFill="1"/>
    <xf numFmtId="0" fontId="6" fillId="4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shrinkToFit="1"/>
    </xf>
    <xf numFmtId="0" fontId="6" fillId="5" borderId="13" xfId="0" applyFont="1" applyFill="1" applyBorder="1" applyAlignment="1">
      <alignment horizontal="center" shrinkToFit="1"/>
    </xf>
    <xf numFmtId="0" fontId="6" fillId="4" borderId="14" xfId="0" applyFont="1" applyFill="1" applyBorder="1"/>
    <xf numFmtId="0" fontId="6" fillId="5" borderId="15" xfId="0" applyFont="1" applyFill="1" applyBorder="1"/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3" fillId="3" borderId="16" xfId="0" applyFont="1" applyFill="1" applyBorder="1" applyAlignment="1"/>
    <xf numFmtId="3" fontId="3" fillId="2" borderId="10" xfId="0" applyNumberFormat="1" applyFont="1" applyFill="1" applyBorder="1"/>
    <xf numFmtId="3" fontId="3" fillId="2" borderId="6" xfId="0" applyNumberFormat="1" applyFont="1" applyFill="1" applyBorder="1"/>
    <xf numFmtId="3" fontId="3" fillId="3" borderId="2" xfId="0" applyNumberFormat="1" applyFont="1" applyFill="1" applyBorder="1"/>
    <xf numFmtId="0" fontId="6" fillId="4" borderId="14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165" fontId="3" fillId="3" borderId="8" xfId="0" applyNumberFormat="1" applyFont="1" applyFill="1" applyBorder="1" applyAlignment="1">
      <alignment horizontal="left"/>
    </xf>
    <xf numFmtId="0" fontId="3" fillId="2" borderId="1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0" fontId="6" fillId="11" borderId="19" xfId="0" applyFont="1" applyFill="1" applyBorder="1" applyAlignment="1" applyProtection="1">
      <alignment horizontal="center" wrapText="1"/>
      <protection locked="0"/>
    </xf>
    <xf numFmtId="0" fontId="6" fillId="11" borderId="19" xfId="0" applyFont="1" applyFill="1" applyBorder="1" applyAlignment="1" applyProtection="1">
      <protection locked="0"/>
    </xf>
    <xf numFmtId="0" fontId="6" fillId="12" borderId="13" xfId="0" applyFont="1" applyFill="1" applyBorder="1" applyAlignment="1" applyProtection="1">
      <alignment horizontal="center" wrapText="1"/>
      <protection locked="0"/>
    </xf>
    <xf numFmtId="0" fontId="7" fillId="12" borderId="13" xfId="0" applyFont="1" applyFill="1" applyBorder="1" applyAlignment="1"/>
    <xf numFmtId="0" fontId="4" fillId="12" borderId="13" xfId="0" applyFont="1" applyFill="1" applyBorder="1" applyAlignment="1">
      <alignment horizontal="center" wrapText="1"/>
    </xf>
    <xf numFmtId="3" fontId="3" fillId="3" borderId="7" xfId="0" applyNumberFormat="1" applyFont="1" applyFill="1" applyBorder="1" applyAlignment="1">
      <alignment horizontal="right" shrinkToFit="1"/>
    </xf>
    <xf numFmtId="0" fontId="3" fillId="2" borderId="1" xfId="0" applyFont="1" applyFill="1" applyBorder="1" applyAlignment="1"/>
    <xf numFmtId="0" fontId="3" fillId="2" borderId="20" xfId="0" applyFont="1" applyFill="1" applyBorder="1" applyAlignment="1"/>
    <xf numFmtId="0" fontId="3" fillId="7" borderId="2" xfId="0" applyFont="1" applyFill="1" applyBorder="1" applyAlignment="1"/>
    <xf numFmtId="0" fontId="3" fillId="7" borderId="21" xfId="0" applyFont="1" applyFill="1" applyBorder="1" applyAlignment="1"/>
    <xf numFmtId="0" fontId="3" fillId="8" borderId="2" xfId="0" applyFont="1" applyFill="1" applyBorder="1" applyAlignment="1"/>
    <xf numFmtId="0" fontId="3" fillId="8" borderId="21" xfId="0" applyFont="1" applyFill="1" applyBorder="1" applyAlignment="1"/>
    <xf numFmtId="0" fontId="3" fillId="9" borderId="2" xfId="0" applyFont="1" applyFill="1" applyBorder="1" applyAlignment="1"/>
    <xf numFmtId="0" fontId="3" fillId="9" borderId="21" xfId="0" applyFont="1" applyFill="1" applyBorder="1" applyAlignment="1"/>
    <xf numFmtId="0" fontId="4" fillId="10" borderId="2" xfId="0" applyFont="1" applyFill="1" applyBorder="1" applyAlignment="1"/>
    <xf numFmtId="0" fontId="4" fillId="10" borderId="21" xfId="0" applyFont="1" applyFill="1" applyBorder="1" applyAlignment="1"/>
    <xf numFmtId="0" fontId="3" fillId="6" borderId="2" xfId="0" applyFont="1" applyFill="1" applyBorder="1" applyAlignment="1"/>
    <xf numFmtId="0" fontId="3" fillId="6" borderId="21" xfId="0" applyFont="1" applyFill="1" applyBorder="1" applyAlignment="1"/>
    <xf numFmtId="3" fontId="3" fillId="3" borderId="7" xfId="0" applyNumberFormat="1" applyFont="1" applyFill="1" applyBorder="1" applyAlignment="1">
      <alignment horizontal="center"/>
    </xf>
    <xf numFmtId="165" fontId="8" fillId="3" borderId="14" xfId="0" applyNumberFormat="1" applyFont="1" applyFill="1" applyBorder="1" applyAlignment="1">
      <alignment vertical="center"/>
    </xf>
    <xf numFmtId="165" fontId="8" fillId="3" borderId="22" xfId="0" applyNumberFormat="1" applyFont="1" applyFill="1" applyBorder="1" applyAlignment="1">
      <alignment vertical="center"/>
    </xf>
    <xf numFmtId="165" fontId="8" fillId="3" borderId="15" xfId="0" applyNumberFormat="1" applyFont="1" applyFill="1" applyBorder="1" applyAlignment="1">
      <alignment vertical="center"/>
    </xf>
    <xf numFmtId="165" fontId="8" fillId="3" borderId="23" xfId="0" applyNumberFormat="1" applyFont="1" applyFill="1" applyBorder="1" applyAlignment="1">
      <alignment vertical="center"/>
    </xf>
    <xf numFmtId="0" fontId="3" fillId="3" borderId="8" xfId="0" applyFont="1" applyFill="1" applyBorder="1" applyAlignment="1"/>
    <xf numFmtId="0" fontId="7" fillId="12" borderId="0" xfId="0" applyFont="1" applyFill="1" applyBorder="1" applyAlignment="1"/>
    <xf numFmtId="3" fontId="3" fillId="14" borderId="31" xfId="0" applyNumberFormat="1" applyFont="1" applyFill="1" applyBorder="1" applyAlignment="1">
      <alignment horizontal="right" shrinkToFit="1"/>
    </xf>
    <xf numFmtId="0" fontId="3" fillId="2" borderId="2" xfId="0" applyFont="1" applyFill="1" applyBorder="1"/>
    <xf numFmtId="0" fontId="3" fillId="2" borderId="9" xfId="0" applyFont="1" applyFill="1" applyBorder="1" applyAlignment="1">
      <alignment horizontal="center"/>
    </xf>
    <xf numFmtId="0" fontId="6" fillId="11" borderId="14" xfId="0" applyFont="1" applyFill="1" applyBorder="1" applyAlignment="1" applyProtection="1"/>
    <xf numFmtId="14" fontId="2" fillId="2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NumberFormat="1" applyFont="1" applyFill="1"/>
    <xf numFmtId="0" fontId="1" fillId="2" borderId="0" xfId="0" applyFont="1" applyFill="1"/>
    <xf numFmtId="0" fontId="9" fillId="3" borderId="14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165" fontId="9" fillId="3" borderId="14" xfId="0" applyNumberFormat="1" applyFont="1" applyFill="1" applyBorder="1" applyAlignment="1">
      <alignment horizontal="center" vertical="center"/>
    </xf>
    <xf numFmtId="165" fontId="9" fillId="3" borderId="15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6" fillId="5" borderId="15" xfId="0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right" shrinkToFit="1"/>
    </xf>
    <xf numFmtId="3" fontId="3" fillId="2" borderId="30" xfId="0" applyNumberFormat="1" applyFont="1" applyFill="1" applyBorder="1" applyAlignment="1">
      <alignment horizontal="right" shrinkToFit="1"/>
    </xf>
    <xf numFmtId="3" fontId="3" fillId="2" borderId="9" xfId="0" applyNumberFormat="1" applyFont="1" applyFill="1" applyBorder="1" applyAlignment="1">
      <alignment horizontal="right" shrinkToFit="1"/>
    </xf>
    <xf numFmtId="165" fontId="3" fillId="3" borderId="24" xfId="0" applyNumberFormat="1" applyFont="1" applyFill="1" applyBorder="1" applyAlignment="1">
      <alignment horizontal="left"/>
    </xf>
    <xf numFmtId="0" fontId="3" fillId="3" borderId="15" xfId="0" applyFont="1" applyFill="1" applyBorder="1" applyAlignment="1">
      <alignment horizontal="right"/>
    </xf>
    <xf numFmtId="165" fontId="3" fillId="3" borderId="8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right"/>
    </xf>
    <xf numFmtId="0" fontId="6" fillId="13" borderId="25" xfId="0" applyFont="1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 vertical="center"/>
    </xf>
    <xf numFmtId="0" fontId="6" fillId="13" borderId="22" xfId="0" applyFont="1" applyFill="1" applyBorder="1" applyAlignment="1">
      <alignment horizontal="center" vertical="center"/>
    </xf>
    <xf numFmtId="0" fontId="6" fillId="13" borderId="26" xfId="0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/>
    </xf>
    <xf numFmtId="0" fontId="6" fillId="13" borderId="27" xfId="0" applyFont="1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 vertical="center" wrapText="1"/>
    </xf>
    <xf numFmtId="0" fontId="6" fillId="13" borderId="22" xfId="0" applyFont="1" applyFill="1" applyBorder="1" applyAlignment="1">
      <alignment horizontal="center" vertical="center" wrapText="1"/>
    </xf>
    <xf numFmtId="0" fontId="6" fillId="13" borderId="27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165" fontId="9" fillId="3" borderId="14" xfId="0" applyNumberFormat="1" applyFont="1" applyFill="1" applyBorder="1" applyAlignment="1">
      <alignment horizontal="right" vertical="center"/>
    </xf>
    <xf numFmtId="165" fontId="9" fillId="3" borderId="15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 wrapText="1"/>
    </xf>
    <xf numFmtId="0" fontId="6" fillId="13" borderId="22" xfId="0" applyFont="1" applyFill="1" applyBorder="1" applyAlignment="1">
      <alignment horizontal="center" wrapText="1"/>
    </xf>
    <xf numFmtId="0" fontId="6" fillId="13" borderId="15" xfId="0" applyFont="1" applyFill="1" applyBorder="1" applyAlignment="1">
      <alignment horizontal="center" wrapText="1"/>
    </xf>
    <xf numFmtId="0" fontId="6" fillId="13" borderId="23" xfId="0" applyFont="1" applyFill="1" applyBorder="1" applyAlignment="1">
      <alignment horizontal="center" wrapText="1"/>
    </xf>
    <xf numFmtId="0" fontId="0" fillId="0" borderId="8" xfId="0" applyBorder="1" applyAlignment="1">
      <alignment horizontal="left"/>
    </xf>
    <xf numFmtId="3" fontId="3" fillId="2" borderId="6" xfId="0" applyNumberFormat="1" applyFont="1" applyFill="1" applyBorder="1" applyAlignment="1">
      <alignment horizontal="right" shrinkToFit="1"/>
    </xf>
    <xf numFmtId="3" fontId="3" fillId="2" borderId="7" xfId="0" applyNumberFormat="1" applyFont="1" applyFill="1" applyBorder="1" applyAlignment="1">
      <alignment horizontal="right" shrinkToFit="1"/>
    </xf>
    <xf numFmtId="3" fontId="3" fillId="2" borderId="5" xfId="0" applyNumberFormat="1" applyFont="1" applyFill="1" applyBorder="1" applyAlignment="1">
      <alignment horizontal="right" shrinkToFit="1"/>
    </xf>
  </cellXfs>
  <cellStyles count="1">
    <cellStyle name="Normal" xfId="0" builtinId="0"/>
  </cellStyles>
  <dxfs count="22">
    <dxf>
      <font>
        <color theme="1"/>
      </font>
      <fill>
        <gradientFill degree="90">
          <stop position="0">
            <color rgb="FF002060"/>
          </stop>
          <stop position="0.5">
            <color rgb="FFFFFF00"/>
          </stop>
          <stop position="1">
            <color rgb="FF002060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BF4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10</v>
        <stp/>
        <stp>StudyData</stp>
        <stp>JGB??1</stp>
        <stp>Vol</stp>
        <stp>VolType=Exchange,CoCType=Contract</stp>
        <stp>Vol</stp>
        <stp>5</stp>
        <stp>0</stp>
        <stp>ALL</stp>
        <stp/>
        <stp/>
        <stp>TRUE</stp>
        <stp>T</stp>
        <tr r="Z6" s="1"/>
        <tr r="Z6" s="1"/>
      </tp>
      <tp>
        <v>42</v>
        <stp/>
        <stp>StudyData</stp>
        <stp>JGB??2</stp>
        <stp>Vol</stp>
        <stp>VolType=Exchange,CoCType=Contract</stp>
        <stp>Vol</stp>
        <stp>5</stp>
        <stp>0</stp>
        <stp>ALL</stp>
        <stp/>
        <stp/>
        <stp>TRUE</stp>
        <stp>T</stp>
        <tr r="Z7" s="1"/>
        <tr r="Z7" s="1"/>
      </tp>
      <tp t="s">
        <v/>
        <stp/>
        <stp>StudyData</stp>
        <stp>JGB??3</stp>
        <stp>Vol</stp>
        <stp>VolType=Exchange,CoCType=Contract</stp>
        <stp>Vol</stp>
        <stp>5</stp>
        <stp>0</stp>
        <stp>ALL</stp>
        <stp/>
        <stp/>
        <stp>TRUE</stp>
        <stp>T</stp>
        <tr r="Z8" s="1"/>
      </tp>
      <tp>
        <v>165782</v>
        <stp/>
        <stp>ContractData</stp>
        <stp>JGB??2</stp>
        <stp>COI</stp>
        <tr r="U7" s="1"/>
      </tp>
      <tp>
        <v>0</v>
        <stp/>
        <stp>ContractData</stp>
        <stp>JGB??3</stp>
        <stp>COI</stp>
        <tr r="U8" s="1"/>
      </tp>
      <tp>
        <v>26762</v>
        <stp/>
        <stp>ContractData</stp>
        <stp>JGB??1</stp>
        <stp>COI</stp>
        <tr r="U6" s="1"/>
      </tp>
      <tp>
        <v>18222.7</v>
        <stp/>
        <stp>StudyData</stp>
        <stp>JGB??1</stp>
        <stp>MA</stp>
        <stp>InputChoice=ContractVol,MAType=Sim,Period=10</stp>
        <stp>MA</stp>
        <stp/>
        <stp/>
        <stp>all</stp>
        <stp/>
        <stp/>
        <stp/>
        <stp>T</stp>
        <tr r="L6" s="1"/>
      </tp>
      <tp t="s">
        <v/>
        <stp/>
        <stp>StudyData</stp>
        <stp>JGB??3</stp>
        <stp>MA</stp>
        <stp>InputChoice=ContractVol,MAType=Sim,Period=10</stp>
        <stp>MA</stp>
        <stp/>
        <stp/>
        <stp>all</stp>
        <stp/>
        <stp/>
        <stp/>
        <stp>T</stp>
        <tr r="L8" s="1"/>
      </tp>
      <tp>
        <v>5148.7</v>
        <stp/>
        <stp>StudyData</stp>
        <stp>JGB??2</stp>
        <stp>MA</stp>
        <stp>InputChoice=ContractVol,MAType=Sim,Period=10</stp>
        <stp>MA</stp>
        <stp/>
        <stp/>
        <stp>all</stp>
        <stp/>
        <stp/>
        <stp/>
        <stp>T</stp>
        <tr r="L7" s="1"/>
      </tp>
      <tp>
        <v>22848</v>
        <stp/>
        <stp>StudyData</stp>
        <stp>(MA(JGB??1,Period:=10,MAType:=Sim,InputChoice:=ContractVol) when LocalYear(JGB??1)=2023 And (LocalMonth(JGB??1)=6 And LocalDay(JGB??1)=1 ))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322</v>
        <stp/>
        <stp>StudyData</stp>
        <stp>(MA(JGB??2,Period:=10,MAType:=Sim,InputChoice:=ContractVol) when LocalYear(JGB??2)=2023 And (LocalMonth(JGB??2)=6 And LocalDay(JGB??2)=1 ))</stp>
        <stp>Bar</stp>
        <stp/>
        <stp>Close</stp>
        <stp>D</stp>
        <stp>0</stp>
        <stp>all</stp>
        <stp/>
        <stp/>
        <stp>False</stp>
        <stp/>
        <stp/>
        <tr r="P7" s="1"/>
      </tp>
      <tp t="s">
        <v/>
        <stp/>
        <stp>StudyData</stp>
        <stp>(MA(JGB??3,Period:=10,MAType:=Sim,InputChoice:=ContractVol) when LocalYear(JGB??3)=2023 And (LocalMonth(JGB??3)=6 And LocalDay(JGB??3)=1 ))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21</v>
        <stp/>
        <stp>StudyData</stp>
        <stp>Vol(JGB??1) when (LocalDay(JGB??1)=9 and LocalHour(JGB??1)=7 and LocalMinute(JGB??1)=25)</stp>
        <stp>Bar</stp>
        <stp/>
        <stp>Vol</stp>
        <stp>5</stp>
        <stp>0</stp>
        <tr r="AA6" s="1"/>
      </tp>
      <tp>
        <v>0</v>
        <stp/>
        <stp>StudyData</stp>
        <stp>Vol(JGB??3) when (LocalDay(JGB??3)=9 and LocalHour(JGB??3)=7 and LocalMinute(JGB??3)=25)</stp>
        <stp>Bar</stp>
        <stp/>
        <stp>Vol</stp>
        <stp>5</stp>
        <stp>0</stp>
        <tr r="AA8" s="1"/>
      </tp>
      <tp>
        <v>56</v>
        <stp/>
        <stp>StudyData</stp>
        <stp>Vol(JGB??2) when (LocalDay(JGB??2)=9 and LocalHour(JGB??2)=7 and LocalMinute(JGB??2)=25)</stp>
        <stp>Bar</stp>
        <stp/>
        <stp>Vol</stp>
        <stp>5</stp>
        <stp>0</stp>
        <tr r="AA7" s="1"/>
      </tp>
      <tp t="s">
        <v>768: Current Message -&gt; Not found: JGB</v>
        <stp/>
        <stp>ContractData</stp>
        <stp>JGB??4</stp>
        <stp>Contractmonth</stp>
        <tr r="H9" s="1"/>
        <tr r="H9" s="1"/>
        <tr r="H9" s="1"/>
        <tr r="H9" s="1"/>
      </tp>
      <tp>
        <v>45086</v>
        <stp/>
        <stp>StudyData</stp>
        <stp>SO3</stp>
        <stp>Bar</stp>
        <stp/>
        <stp>Time</stp>
        <stp>D</stp>
        <stp>-1</stp>
        <stp/>
        <stp/>
        <stp/>
        <stp/>
        <stp>T</stp>
        <tr r="C13" s="1"/>
      </tp>
      <tp t="s">
        <v>JUN</v>
        <stp/>
        <stp>ContractData</stp>
        <stp>JGB??1</stp>
        <stp>Contractmonth</stp>
        <tr r="H6" s="1"/>
        <tr r="H6" s="1"/>
        <tr r="H6" s="1"/>
        <tr r="H6" s="1"/>
      </tp>
      <tp t="s">
        <v>SEP</v>
        <stp/>
        <stp>ContractData</stp>
        <stp>JGB??2</stp>
        <stp>Contractmonth</stp>
        <tr r="H7" s="1"/>
        <tr r="H7" s="1"/>
        <tr r="H7" s="1"/>
        <tr r="H7" s="1"/>
      </tp>
      <tp>
        <v>44318</v>
        <stp/>
        <stp>ContractData</stp>
        <stp>JGB??1</stp>
        <stp>P_OI</stp>
        <tr r="X6" s="1"/>
      </tp>
      <tp>
        <v>152543</v>
        <stp/>
        <stp>ContractData</stp>
        <stp>JGB??2</stp>
        <stp>P_OI</stp>
        <tr r="X7" s="1"/>
      </tp>
      <tp>
        <v>0</v>
        <stp/>
        <stp>ContractData</stp>
        <stp>JGB??3</stp>
        <stp>P_OI</stp>
        <tr r="X8" s="1"/>
      </tp>
      <tp t="s">
        <v>DEC</v>
        <stp/>
        <stp>ContractData</stp>
        <stp>JGB??3</stp>
        <stp>Contractmonth</stp>
        <tr r="H8" s="1"/>
        <tr r="H8" s="1"/>
        <tr r="H8" s="1"/>
        <tr r="H8" s="1"/>
      </tp>
      <tp>
        <v>45089.310983796298</v>
        <stp/>
        <stp>SystemInfo</stp>
        <stp>Linetime</stp>
        <tr r="E2" s="1"/>
        <tr r="AA2" s="1"/>
        <tr r="Y11" s="1"/>
        <tr r="N11" s="1"/>
        <tr r="U11" s="1"/>
        <tr r="AC35" s="1"/>
      </tp>
      <tp t="s">
        <v>768: Current Message -&gt; Not found: JGB</v>
        <stp/>
        <stp>ContractData</stp>
        <stp>JGB??4</stp>
        <stp>LongDescription</stp>
        <tr r="B9" s="1"/>
      </tp>
      <tp t="s">
        <v>TSE 10 Year JGB, Jun 23</v>
        <stp/>
        <stp>ContractData</stp>
        <stp>JGB??1</stp>
        <stp>LongDescription</stp>
        <tr r="B6" s="1"/>
      </tp>
      <tp t="s">
        <v>TSE 10 Year JGB, Sep 23</v>
        <stp/>
        <stp>ContractData</stp>
        <stp>JGB??2</stp>
        <stp>LongDescription</stp>
        <tr r="B7" s="1"/>
      </tp>
      <tp t="s">
        <v>TSE 10 Year JGB, Dec 23</v>
        <stp/>
        <stp>ContractData</stp>
        <stp>JGB??3</stp>
        <stp>LongDescription</stp>
        <tr r="B8" s="1"/>
      </tp>
      <tp>
        <v>45273</v>
        <stp/>
        <stp>ContractData</stp>
        <stp>JGB??3</stp>
        <stp>ExpirationDate</stp>
        <stp/>
        <stp>D</stp>
        <tr r="F8" s="1"/>
      </tp>
      <tp>
        <v>45182</v>
        <stp/>
        <stp>ContractData</stp>
        <stp>JGB??2</stp>
        <stp>ExpirationDate</stp>
        <stp/>
        <stp>D</stp>
        <tr r="F7" s="1"/>
      </tp>
      <tp>
        <v>45090</v>
        <stp/>
        <stp>ContractData</stp>
        <stp>JGB??1</stp>
        <stp>ExpirationDate</stp>
        <stp/>
        <stp>D</stp>
        <tr r="F6" s="1"/>
      </tp>
      <tp>
        <v>549</v>
        <stp/>
        <stp>ContractData</stp>
        <stp>JGB??1</stp>
        <stp>T_CVol</stp>
        <tr r="K6" s="1"/>
      </tp>
      <tp>
        <v>3017</v>
        <stp/>
        <stp>ContractData</stp>
        <stp>JGB??2</stp>
        <stp>T_CVol</stp>
        <tr r="K7" s="1"/>
      </tp>
      <tp>
        <v>0</v>
        <stp/>
        <stp>ContractData</stp>
        <stp>JGB??3</stp>
        <stp>T_CVol</stp>
        <tr r="K8" s="1"/>
      </tp>
      <tp>
        <v>4944</v>
        <stp/>
        <stp>ContractData</stp>
        <stp>JGB??1</stp>
        <stp>Y_CVol</stp>
        <tr r="N6" s="1"/>
      </tp>
      <tp>
        <v>14695</v>
        <stp/>
        <stp>ContractData</stp>
        <stp>JGB??2</stp>
        <stp>Y_CVol</stp>
        <tr r="N7" s="1"/>
      </tp>
      <tp>
        <v>0</v>
        <stp/>
        <stp>ContractData</stp>
        <stp>JGB??3</stp>
        <stp>Y_CVol</stp>
        <tr r="N8" s="1"/>
      </tp>
      <tp>
        <v>45089.309027777781</v>
        <stp/>
        <stp>StudyData</stp>
        <stp>JGB??1</stp>
        <stp>Bar</stp>
        <stp/>
        <stp>Time</stp>
        <stp>5</stp>
        <stp/>
        <stp>all</stp>
        <stp/>
        <stp/>
        <stp>False</stp>
        <tr r="F1" s="1"/>
        <tr r="D1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10</xdr:row>
      <xdr:rowOff>66675</xdr:rowOff>
    </xdr:from>
    <xdr:to>
      <xdr:col>5</xdr:col>
      <xdr:colOff>914400</xdr:colOff>
      <xdr:row>10</xdr:row>
      <xdr:rowOff>200025</xdr:rowOff>
    </xdr:to>
    <xdr:pic>
      <xdr:nvPicPr>
        <xdr:cNvPr id="102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1658600"/>
          <a:ext cx="533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46"/>
  <sheetViews>
    <sheetView showGridLines="0" showRowColHeaders="0" tabSelected="1" workbookViewId="0">
      <selection activeCell="L4" sqref="L4"/>
    </sheetView>
  </sheetViews>
  <sheetFormatPr defaultRowHeight="17.25" x14ac:dyDescent="0.3"/>
  <cols>
    <col min="1" max="1" width="3.42578125" style="2" customWidth="1"/>
    <col min="2" max="2" width="17.7109375" style="1" customWidth="1"/>
    <col min="3" max="3" width="15.28515625" style="1" hidden="1" customWidth="1"/>
    <col min="4" max="4" width="18.42578125" style="1" hidden="1" customWidth="1"/>
    <col min="5" max="5" width="9.7109375" style="1" hidden="1" customWidth="1"/>
    <col min="6" max="6" width="24" style="1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8" customWidth="1"/>
    <col min="16" max="17" width="5.7109375" style="8" customWidth="1"/>
    <col min="18" max="18" width="5.140625" style="1" customWidth="1"/>
    <col min="19" max="19" width="1.7109375" style="1" customWidth="1"/>
    <col min="20" max="23" width="12.7109375" style="1" customWidth="1"/>
    <col min="24" max="24" width="13.7109375" style="1" customWidth="1"/>
    <col min="25" max="25" width="14.85546875" style="1" customWidth="1"/>
    <col min="26" max="26" width="10.28515625" style="1" customWidth="1"/>
    <col min="27" max="27" width="8.7109375" style="1" customWidth="1"/>
    <col min="28" max="28" width="15.7109375" style="1" customWidth="1"/>
    <col min="29" max="31" width="8.7109375" style="1" hidden="1" customWidth="1"/>
    <col min="32" max="16384" width="9.140625" style="1"/>
  </cols>
  <sheetData>
    <row r="1" spans="1:31" ht="3.95" customHeight="1" x14ac:dyDescent="0.3">
      <c r="A1" s="77">
        <f ca="1">TODAY()</f>
        <v>45089</v>
      </c>
      <c r="B1" s="78">
        <f ca="1">IF(WEEKDAY(A1)=2,-3,-1)</f>
        <v>-3</v>
      </c>
      <c r="C1" s="78">
        <f ca="1">IF(DAY(A1+B1)=C13,DAY(A1+B1),C13)</f>
        <v>9</v>
      </c>
      <c r="D1" s="79">
        <f xml:space="preserve"> RTD("cqg.rtd",,"StudyData",$A$5&amp;A6,"Bar",,"Time",Z4,,"all",,,"False")</f>
        <v>45089.309027777781</v>
      </c>
      <c r="E1" s="80">
        <f xml:space="preserve"> HOUR(D1)</f>
        <v>7</v>
      </c>
      <c r="F1" s="78">
        <f xml:space="preserve"> MINUTE(RTD("cqg.rtd",,"StudyData",$A$5&amp;A6,"Bar",,"Time",Z4,,"all",,,"False"))</f>
        <v>25</v>
      </c>
    </row>
    <row r="2" spans="1:31" ht="21.95" customHeight="1" x14ac:dyDescent="0.3">
      <c r="B2" s="108" t="s">
        <v>24</v>
      </c>
      <c r="C2" s="108"/>
      <c r="D2" s="108"/>
      <c r="E2" s="110">
        <f>RTD("cqg.rtd", ,"SystemInfo", "Linetime")+14/24</f>
        <v>45089.894317129634</v>
      </c>
      <c r="F2" s="110"/>
      <c r="G2" s="116"/>
      <c r="H2" s="116"/>
      <c r="I2" s="116"/>
      <c r="J2" s="86" t="s">
        <v>26</v>
      </c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2" t="s">
        <v>22</v>
      </c>
      <c r="Z2" s="82"/>
      <c r="AA2" s="84">
        <f>RTD("cqg.rtd", ,"SystemInfo", "Linetime")+6/24</f>
        <v>45089.560983796298</v>
      </c>
      <c r="AB2" s="84"/>
      <c r="AC2" s="67"/>
      <c r="AD2" s="67"/>
      <c r="AE2" s="68"/>
    </row>
    <row r="3" spans="1:31" ht="21.95" customHeight="1" x14ac:dyDescent="0.3">
      <c r="B3" s="109"/>
      <c r="C3" s="109"/>
      <c r="D3" s="109"/>
      <c r="E3" s="111"/>
      <c r="F3" s="111"/>
      <c r="G3" s="117"/>
      <c r="H3" s="117"/>
      <c r="I3" s="11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3"/>
      <c r="Z3" s="83"/>
      <c r="AA3" s="85"/>
      <c r="AB3" s="85"/>
      <c r="AC3" s="69"/>
      <c r="AD3" s="69"/>
      <c r="AE3" s="70"/>
    </row>
    <row r="4" spans="1:31" ht="20.100000000000001" customHeight="1" x14ac:dyDescent="0.3">
      <c r="B4" s="96" t="s">
        <v>21</v>
      </c>
      <c r="C4" s="97"/>
      <c r="D4" s="97"/>
      <c r="E4" s="98"/>
      <c r="F4" s="28" t="s">
        <v>4</v>
      </c>
      <c r="G4" s="30" t="s">
        <v>5</v>
      </c>
      <c r="H4" s="26"/>
      <c r="I4" s="26"/>
      <c r="J4" s="115" t="s">
        <v>8</v>
      </c>
      <c r="K4" s="115"/>
      <c r="L4" s="40">
        <v>10</v>
      </c>
      <c r="M4" s="32"/>
      <c r="N4" s="118" t="s">
        <v>15</v>
      </c>
      <c r="O4" s="119"/>
      <c r="P4" s="48">
        <v>6</v>
      </c>
      <c r="Q4" s="48">
        <v>1</v>
      </c>
      <c r="R4" s="49">
        <v>23</v>
      </c>
      <c r="S4" s="76"/>
      <c r="T4" s="104" t="s">
        <v>12</v>
      </c>
      <c r="U4" s="104"/>
      <c r="V4" s="97" t="s">
        <v>13</v>
      </c>
      <c r="W4" s="97"/>
      <c r="X4" s="104" t="s">
        <v>16</v>
      </c>
      <c r="Y4" s="105"/>
      <c r="Z4" s="35">
        <v>5</v>
      </c>
      <c r="AA4" s="34" t="s">
        <v>14</v>
      </c>
      <c r="AB4" s="96" t="s">
        <v>21</v>
      </c>
      <c r="AC4" s="97"/>
      <c r="AD4" s="97"/>
      <c r="AE4" s="98"/>
    </row>
    <row r="5" spans="1:31" ht="20.100000000000001" customHeight="1" x14ac:dyDescent="0.3">
      <c r="A5" s="3" t="s">
        <v>25</v>
      </c>
      <c r="B5" s="99"/>
      <c r="C5" s="100"/>
      <c r="D5" s="100"/>
      <c r="E5" s="101"/>
      <c r="F5" s="29" t="s">
        <v>7</v>
      </c>
      <c r="G5" s="31" t="s">
        <v>6</v>
      </c>
      <c r="H5" s="27"/>
      <c r="I5" s="27"/>
      <c r="J5" s="88" t="s">
        <v>9</v>
      </c>
      <c r="K5" s="88"/>
      <c r="L5" s="41" t="s">
        <v>10</v>
      </c>
      <c r="M5" s="33"/>
      <c r="N5" s="120"/>
      <c r="O5" s="121"/>
      <c r="P5" s="52" t="s">
        <v>20</v>
      </c>
      <c r="Q5" s="50">
        <v>10</v>
      </c>
      <c r="R5" s="51" t="str">
        <f>"20"&amp;R4</f>
        <v>2023</v>
      </c>
      <c r="S5" s="72"/>
      <c r="T5" s="106"/>
      <c r="U5" s="106"/>
      <c r="V5" s="103"/>
      <c r="W5" s="103"/>
      <c r="X5" s="106"/>
      <c r="Y5" s="107"/>
      <c r="Z5" s="102" t="s">
        <v>11</v>
      </c>
      <c r="AA5" s="102"/>
      <c r="AB5" s="99"/>
      <c r="AC5" s="100"/>
      <c r="AD5" s="100"/>
      <c r="AE5" s="101"/>
    </row>
    <row r="6" spans="1:31" x14ac:dyDescent="0.3">
      <c r="A6" s="2" t="s">
        <v>0</v>
      </c>
      <c r="B6" s="45" t="str">
        <f>RIGHT(RTD("cqg.rtd",,"ContractData",$A$5&amp;A6,"LongDescription"),6)</f>
        <v>Jun 23</v>
      </c>
      <c r="C6" s="42"/>
      <c r="D6" s="42"/>
      <c r="E6" s="42"/>
      <c r="F6" s="4">
        <f>IF(B6="","",RTD("cqg.rtd",,"ContractData",$A$5&amp;A6,"ExpirationDate",,"D"))</f>
        <v>45090</v>
      </c>
      <c r="G6" s="5">
        <f ca="1">F6-$A$1</f>
        <v>1</v>
      </c>
      <c r="H6" s="16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9"/>
      <c r="J6" s="5">
        <f>K6</f>
        <v>549</v>
      </c>
      <c r="K6" s="37">
        <f>RTD("cqg.rtd", ,"ContractData", $A$5&amp;A6, "T_CVol")</f>
        <v>549</v>
      </c>
      <c r="L6" s="5">
        <f xml:space="preserve"> RTD("cqg.rtd",,"StudyData", $A$5&amp;A6, "MA", "InputChoice=ContractVol,MAType=Sim,Period="&amp;$L$4&amp;"", "MA",,,"all",,,,"T")</f>
        <v>18222.7</v>
      </c>
      <c r="M6" s="20">
        <f>IF(K6&gt;L6,1,0)</f>
        <v>0</v>
      </c>
      <c r="N6" s="5">
        <f>RTD("cqg.rtd", ,"ContractData", $A$5&amp;A6, "Y_CVol")</f>
        <v>4944</v>
      </c>
      <c r="O6" s="23">
        <f>IF(ISERROR(K6/N6),"",K6/N6)</f>
        <v>0.11104368932038836</v>
      </c>
      <c r="P6" s="89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22848</v>
      </c>
      <c r="Q6" s="90"/>
      <c r="R6" s="91"/>
      <c r="S6" s="73"/>
      <c r="T6" s="7">
        <f>U6</f>
        <v>26762</v>
      </c>
      <c r="U6" s="7">
        <f>IF(B6="","",RTD("cqg.rtd", ,"ContractData", $A$5&amp;A6, "COI"))</f>
        <v>26762</v>
      </c>
      <c r="V6" s="7">
        <f>U6-X6</f>
        <v>-17556</v>
      </c>
      <c r="W6" s="7">
        <f>V6</f>
        <v>-17556</v>
      </c>
      <c r="X6" s="7">
        <f>IF(B6="","",RTD("cqg.rtd", ,"ContractData", $A$5&amp;A6, "P_OI"))</f>
        <v>44318</v>
      </c>
      <c r="Y6" s="11">
        <f>IFERROR(U6/X6,"")</f>
        <v>0.60386299020713929</v>
      </c>
      <c r="Z6" s="74">
        <f>IF(RTD("cqg.rtd",,"StudyData",$A$5&amp;A6,"Vol","VolType=Exchange,CoCType=Contract","Vol",$Z$4,"0","ALL",,,"TRUE","T")="",0,RTD("cqg.rtd",,"StudyData",$A$5&amp;A6,"Vol","VolType=Exchange,CoCType=Contract","Vol",$Z$4,"0","ALL",,,"TRUE","T"))</f>
        <v>10</v>
      </c>
      <c r="AA6" s="74">
        <f ca="1">IFERROR(IF(B6="","",RTD("cqg.rtd",,"StudyData","Vol("&amp;$A$5&amp;A6&amp;") when (LocalDay("&amp;$A$5&amp;A6&amp;")="&amp;$C$1&amp;" and LocalHour("&amp;$A$5&amp;A6&amp;")="&amp;$E$1&amp;" and LocalMinute("&amp;$A$5&amp;$A6&amp;")="&amp;$F$1&amp;")","Bar",,"Vol",$Z$4,"0")),"")</f>
        <v>21</v>
      </c>
      <c r="AB6" s="75" t="str">
        <f t="shared" ref="AB6:AB9" si="0">B6</f>
        <v>Jun 23</v>
      </c>
      <c r="AC6" s="54"/>
      <c r="AD6" s="54"/>
      <c r="AE6" s="55"/>
    </row>
    <row r="7" spans="1:31" x14ac:dyDescent="0.3">
      <c r="A7" s="2" t="s">
        <v>1</v>
      </c>
      <c r="B7" s="46" t="str">
        <f>RIGHT(RTD("cqg.rtd",,"ContractData",$A$5&amp;A7,"LongDescription"),6)</f>
        <v>Sep 23</v>
      </c>
      <c r="C7" s="43"/>
      <c r="D7" s="43"/>
      <c r="E7" s="43"/>
      <c r="F7" s="6">
        <f>IF(B7="","",RTD("cqg.rtd",,"ContractData",$A$5&amp;A7,"ExpirationDate",,"D"))</f>
        <v>45182</v>
      </c>
      <c r="G7" s="7">
        <f t="shared" ref="G7:G8" ca="1" si="1">F7-$A$1</f>
        <v>93</v>
      </c>
      <c r="H7" s="17">
        <f>IF(OR(RTD("cqg.rtd",,"ContractData",$A$5&amp;A7,"Contractmonth")="JUN",(RTD("cqg.rtd",,"ContractData",$A$5&amp;A7,"Contractmonth")="SEP"),(RTD("cqg.rtd",,"ContractData",$A$5&amp;A7,"Contractmonth")="DEC"),(RTD("cqg.rtd",,"ContractData",$A$5&amp;A7,"Contractmonth")="MAR")),1,0)</f>
        <v>1</v>
      </c>
      <c r="I7" s="10"/>
      <c r="J7" s="7">
        <f>K7</f>
        <v>3017</v>
      </c>
      <c r="K7" s="38">
        <f>RTD("cqg.rtd", ,"ContractData", $A$5&amp;A7, "T_CVol")</f>
        <v>3017</v>
      </c>
      <c r="L7" s="7">
        <f xml:space="preserve"> RTD("cqg.rtd",,"StudyData", $A$5&amp;A7, "MA", "InputChoice=ContractVol,MAType=Sim,Period="&amp;$L$4&amp;"", "MA",,,"all",,,,"T")</f>
        <v>5148.7</v>
      </c>
      <c r="M7" s="21">
        <f>IF(K7&gt;L7,1,0)</f>
        <v>0</v>
      </c>
      <c r="N7" s="7">
        <f>RTD("cqg.rtd", ,"ContractData", $A$5&amp;A7, "Y_CVol")</f>
        <v>14695</v>
      </c>
      <c r="O7" s="24">
        <f t="shared" ref="O7:O8" si="2">IF(ISERROR(K7/N7),"",K7/N7)</f>
        <v>0.2053079278666213</v>
      </c>
      <c r="P7" s="123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322</v>
      </c>
      <c r="Q7" s="124"/>
      <c r="R7" s="125"/>
      <c r="S7" s="73"/>
      <c r="T7" s="7">
        <f t="shared" ref="T7:T8" si="3">U7</f>
        <v>165782</v>
      </c>
      <c r="U7" s="7">
        <f>IF(B7="","",RTD("cqg.rtd", ,"ContractData", $A$5&amp;A7, "COI"))</f>
        <v>165782</v>
      </c>
      <c r="V7" s="7">
        <f t="shared" ref="V7:V8" si="4">U7-X7</f>
        <v>13239</v>
      </c>
      <c r="W7" s="7">
        <f t="shared" ref="W7:W9" si="5">V7</f>
        <v>13239</v>
      </c>
      <c r="X7" s="7">
        <f>IF(B7="","",RTD("cqg.rtd", ,"ContractData", $A$5&amp;A7, "P_OI"))</f>
        <v>152543</v>
      </c>
      <c r="Y7" s="11">
        <f>IFERROR(U7/X7,"")</f>
        <v>1.0867886432022447</v>
      </c>
      <c r="Z7" s="74">
        <f>IF(RTD("cqg.rtd",,"StudyData",$A$5&amp;A7,"Vol","VolType=Exchange,CoCType=Contract","Vol",$Z$4,"0","ALL",,,"TRUE","T")="",0,RTD("cqg.rtd",,"StudyData",$A$5&amp;A7,"Vol","VolType=Exchange,CoCType=Contract","Vol",$Z$4,"0","ALL",,,"TRUE","T"))</f>
        <v>42</v>
      </c>
      <c r="AA7" s="74">
        <f ca="1">IFERROR(IF(B7="","",RTD("cqg.rtd",,"StudyData","Vol("&amp;$A$5&amp;A7&amp;") when (LocalDay("&amp;$A$5&amp;A7&amp;")="&amp;$C$1&amp;" and LocalHour("&amp;$A$5&amp;A7&amp;")="&amp;$E$1&amp;" and LocalMinute("&amp;$A$5&amp;$A7&amp;")="&amp;$F$1&amp;")","Bar",,"Vol",$Z$4,"0")),"")</f>
        <v>56</v>
      </c>
      <c r="AB7" s="75" t="str">
        <f t="shared" si="0"/>
        <v>Sep 23</v>
      </c>
      <c r="AC7" s="54"/>
      <c r="AD7" s="54"/>
      <c r="AE7" s="55"/>
    </row>
    <row r="8" spans="1:31" x14ac:dyDescent="0.3">
      <c r="A8" s="2" t="s">
        <v>2</v>
      </c>
      <c r="B8" s="46" t="str">
        <f>RIGHT(RTD("cqg.rtd",,"ContractData",$A$5&amp;A8,"LongDescription"),6)</f>
        <v>Dec 23</v>
      </c>
      <c r="C8" s="43"/>
      <c r="D8" s="43"/>
      <c r="E8" s="43"/>
      <c r="F8" s="6">
        <f>IF(B8="","",RTD("cqg.rtd",,"ContractData",$A$5&amp;A8,"ExpirationDate",,"D"))</f>
        <v>45273</v>
      </c>
      <c r="G8" s="7">
        <f t="shared" ca="1" si="1"/>
        <v>184</v>
      </c>
      <c r="H8" s="17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1</v>
      </c>
      <c r="I8" s="10"/>
      <c r="J8" s="7">
        <f t="shared" ref="J8" si="6">K8</f>
        <v>0</v>
      </c>
      <c r="K8" s="38">
        <f>RTD("cqg.rtd", ,"ContractData", $A$5&amp;A8, "T_CVol")</f>
        <v>0</v>
      </c>
      <c r="L8" s="7" t="str">
        <f xml:space="preserve"> RTD("cqg.rtd",,"StudyData", $A$5&amp;A8, "MA", "InputChoice=ContractVol,MAType=Sim,Period="&amp;$L$4&amp;"", "MA",,,"all",,,,"T")</f>
        <v/>
      </c>
      <c r="M8" s="21">
        <f t="shared" ref="M8:M9" si="7">IF(K8&gt;L8,1,0)</f>
        <v>0</v>
      </c>
      <c r="N8" s="7">
        <f>RTD("cqg.rtd", ,"ContractData", $A$5&amp;A8, "Y_CVol")</f>
        <v>0</v>
      </c>
      <c r="O8" s="24" t="str">
        <f t="shared" si="2"/>
        <v/>
      </c>
      <c r="P8" s="123" t="str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/>
      </c>
      <c r="Q8" s="124"/>
      <c r="R8" s="125"/>
      <c r="S8" s="73"/>
      <c r="T8" s="7">
        <f t="shared" si="3"/>
        <v>0</v>
      </c>
      <c r="U8" s="7">
        <f>IF(B8="","",RTD("cqg.rtd", ,"ContractData", $A$5&amp;A8, "COI"))</f>
        <v>0</v>
      </c>
      <c r="V8" s="7">
        <f t="shared" si="4"/>
        <v>0</v>
      </c>
      <c r="W8" s="7">
        <f t="shared" si="5"/>
        <v>0</v>
      </c>
      <c r="X8" s="7">
        <f>IF(B8="","",RTD("cqg.rtd", ,"ContractData", $A$5&amp;A8, "P_OI"))</f>
        <v>0</v>
      </c>
      <c r="Y8" s="11" t="str">
        <f>IFERROR(U8/X8,"")</f>
        <v/>
      </c>
      <c r="Z8" s="74">
        <f>IF(RTD("cqg.rtd",,"StudyData",$A$5&amp;A8,"Vol","VolType=Exchange,CoCType=Contract","Vol",$Z$4,"0","ALL",,,"TRUE","T")="",0,RTD("cqg.rtd",,"StudyData",$A$5&amp;A8,"Vol","VolType=Exchange,CoCType=Contract","Vol",$Z$4,"0","ALL",,,"TRUE","T"))</f>
        <v>0</v>
      </c>
      <c r="AA8" s="74">
        <f ca="1">IFERROR(IF(B8="","",RTD("cqg.rtd",,"StudyData","Vol("&amp;$A$5&amp;A8&amp;") when (LocalDay("&amp;$A$5&amp;A8&amp;")="&amp;$C$1&amp;" and LocalHour("&amp;$A$5&amp;A8&amp;")="&amp;$E$1&amp;" and LocalMinute("&amp;$A$5&amp;$A8&amp;")="&amp;$F$1&amp;")","Bar",,"Vol",$Z$4,"0")),"")</f>
        <v>0</v>
      </c>
      <c r="AB8" s="75" t="str">
        <f t="shared" si="0"/>
        <v>Dec 23</v>
      </c>
      <c r="AC8" s="54"/>
      <c r="AD8" s="54"/>
      <c r="AE8" s="55"/>
    </row>
    <row r="9" spans="1:31" x14ac:dyDescent="0.3">
      <c r="A9" s="81" t="s">
        <v>3</v>
      </c>
      <c r="B9" s="46" t="str">
        <f>IFERROR(IF(RIGHT(RTD("cqg.rtd",,"ContractData",$A$5&amp;A9,"LongDescription"),3)="JGB","",IFERROR(RIGHT(RTD("cqg.rtd",,"ContractData",$A$5&amp;A9,"LongDescription"),20),"")),"")</f>
        <v/>
      </c>
      <c r="C9" s="43"/>
      <c r="D9" s="43"/>
      <c r="E9" s="43"/>
      <c r="F9" s="6" t="str">
        <f>IF(B9="","",RTD("cqg.rtd",,"ContractData",$A$5&amp;A9,"ExpirationDate",,"D"))</f>
        <v/>
      </c>
      <c r="G9" s="7" t="str">
        <f>IF(B9="","",F9-$A$1)</f>
        <v/>
      </c>
      <c r="H9" s="17">
        <f>IF(OR(RTD("cqg.rtd",,"ContractData",$A$5&amp;A9,"Contractmonth")="JUN",(RTD("cqg.rtd",,"ContractData",$A$5&amp;A9,"Contractmonth")="SEP"),(RTD("cqg.rtd",,"ContractData",$A$5&amp;A9,"Contractmonth")="DEC"),(RTD("cqg.rtd",,"ContractData",$A$5&amp;A9,"Contractmonth")="MAR")),1,0)</f>
        <v>0</v>
      </c>
      <c r="I9" s="10"/>
      <c r="J9" s="7" t="str">
        <f>IF(B9="","",K9)</f>
        <v/>
      </c>
      <c r="K9" s="38" t="str">
        <f>IF(B9="","",RTD("cqg.rtd", ,"ContractData", $A$5&amp;A9, "T_CVol"))</f>
        <v/>
      </c>
      <c r="L9" s="7" t="str">
        <f>IF(B9="","",RTD("cqg.rtd",,"StudyData", $A$5&amp;A9, "MA", "InputChoice=ContractVol,MAType=Sim,Period="&amp;$L$4&amp;"", "MA",,,"all",,,,"T"))</f>
        <v/>
      </c>
      <c r="M9" s="21">
        <f t="shared" si="7"/>
        <v>0</v>
      </c>
      <c r="N9" s="7" t="str">
        <f>IF(B9="","",RTD("cqg.rtd", ,"ContractData", $A$5&amp;A9, "Y_CVol"))</f>
        <v/>
      </c>
      <c r="O9" s="24" t="str">
        <f>IF(B9="","",IF(ISERROR(K9/N9),"",K9/N9))</f>
        <v/>
      </c>
      <c r="P9" s="123" t="str">
        <f>IF(B9="","",RTD("cqg.rtd",,"StudyData",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"","False",,))</f>
        <v/>
      </c>
      <c r="Q9" s="124"/>
      <c r="R9" s="125"/>
      <c r="S9" s="73"/>
      <c r="T9" s="7" t="str">
        <f>IF(B9="","",U9)</f>
        <v/>
      </c>
      <c r="U9" s="7" t="str">
        <f>IF(B9="","",RTD("cqg.rtd", ,"ContractData", $A$5&amp;A9, "COI"))</f>
        <v/>
      </c>
      <c r="V9" s="7" t="str">
        <f>IF(B9="","",U9-X9)</f>
        <v/>
      </c>
      <c r="W9" s="7" t="str">
        <f t="shared" si="5"/>
        <v/>
      </c>
      <c r="X9" s="7" t="str">
        <f>IF(B9="","",RTD("cqg.rtd", ,"ContractData", $A$5&amp;A9, "P_OI"))</f>
        <v/>
      </c>
      <c r="Y9" s="11" t="str">
        <f>IF(B9="","",IFERROR(U9/X9,""))</f>
        <v/>
      </c>
      <c r="Z9" s="74" t="str">
        <f>IF(B9="","",IF(RTD("cqg.rtd",,"StudyData",$A$5&amp;A9,"Vol","VolType=Exchange,CoCType=Contract","Vol",$Z$4,"0","ALL",,,"TRUE","T")="",0,RTD("cqg.rtd",,"StudyData",$A$5&amp;A9,"Vol","VolType=Exchange,CoCType=Contract","Vol",$Z$4,"0","ALL",,,"TRUE","T")))</f>
        <v/>
      </c>
      <c r="AA9" s="74" t="str">
        <f>IF(B9="","",IFERROR(IF(B9="","",RTD("cqg.rtd",,"StudyData","Vol("&amp;$A$5&amp;A9&amp;") when (LocalDay("&amp;$A$5&amp;A9&amp;")="&amp;$C$1&amp;" and LocalHour("&amp;$A$5&amp;A9&amp;")="&amp;$E$1&amp;" and LocalMinute("&amp;$A$5&amp;$A9&amp;")="&amp;$F$1&amp;")","Bar",,"Vol",$Z$4,"0")),""))</f>
        <v/>
      </c>
      <c r="AB9" s="75" t="str">
        <f t="shared" si="0"/>
        <v/>
      </c>
      <c r="AC9" s="54"/>
      <c r="AD9" s="54"/>
      <c r="AE9" s="55"/>
    </row>
    <row r="10" spans="1:31" ht="8.1" customHeight="1" x14ac:dyDescent="0.3">
      <c r="B10" s="47"/>
      <c r="C10" s="12"/>
      <c r="D10" s="12"/>
      <c r="E10" s="12"/>
      <c r="F10" s="13"/>
      <c r="G10" s="12"/>
      <c r="H10" s="18"/>
      <c r="I10" s="12"/>
      <c r="J10" s="12"/>
      <c r="K10" s="12"/>
      <c r="L10" s="39"/>
      <c r="M10" s="14"/>
      <c r="N10" s="12"/>
      <c r="O10" s="25"/>
      <c r="P10" s="53"/>
      <c r="Q10" s="53"/>
      <c r="R10" s="53"/>
      <c r="S10" s="53"/>
      <c r="T10" s="12"/>
      <c r="U10" s="12"/>
      <c r="V10" s="12"/>
      <c r="W10" s="12"/>
      <c r="X10" s="12"/>
      <c r="Y10" s="12"/>
      <c r="Z10" s="12"/>
      <c r="AA10" s="14"/>
      <c r="AB10" s="66"/>
      <c r="AC10" s="15"/>
      <c r="AD10" s="15"/>
      <c r="AE10" s="22"/>
    </row>
    <row r="11" spans="1:31" x14ac:dyDescent="0.3">
      <c r="B11" s="113" t="s">
        <v>23</v>
      </c>
      <c r="C11" s="114"/>
      <c r="D11" s="114"/>
      <c r="E11" s="114"/>
      <c r="F11" s="114"/>
      <c r="G11" s="114"/>
      <c r="H11" s="114"/>
      <c r="I11" s="114"/>
      <c r="J11" s="114"/>
      <c r="K11" s="19"/>
      <c r="L11" s="19" t="s">
        <v>17</v>
      </c>
      <c r="M11" s="44"/>
      <c r="N11" s="94">
        <f>RTD("cqg.rtd", ,"SystemInfo", "Linetime")</f>
        <v>45089.310983796298</v>
      </c>
      <c r="O11" s="122"/>
      <c r="P11" s="71"/>
      <c r="Q11" s="71"/>
      <c r="R11" s="112" t="s">
        <v>18</v>
      </c>
      <c r="S11" s="112"/>
      <c r="T11" s="112"/>
      <c r="U11" s="94">
        <f>RTD("cqg.rtd", ,"SystemInfo", "Linetime")+1/24</f>
        <v>45089.352650462963</v>
      </c>
      <c r="V11" s="94"/>
      <c r="W11" s="95" t="s">
        <v>19</v>
      </c>
      <c r="X11" s="95"/>
      <c r="Y11" s="94">
        <f>RTD("cqg.rtd", ,"SystemInfo", "Linetime")+6/24</f>
        <v>45089.560983796298</v>
      </c>
      <c r="Z11" s="94"/>
      <c r="AA11" s="93"/>
      <c r="AB11" s="93"/>
      <c r="AC11" s="56"/>
      <c r="AD11" s="56"/>
      <c r="AE11" s="57"/>
    </row>
    <row r="12" spans="1:31" x14ac:dyDescent="0.3">
      <c r="AC12" s="56"/>
      <c r="AD12" s="56"/>
      <c r="AE12" s="57"/>
    </row>
    <row r="13" spans="1:31" x14ac:dyDescent="0.3">
      <c r="C13" s="80">
        <f>DAY(TRUNC( RTD("cqg.rtd",,"StudyData","SO3", "Bar", "", "Time","D","-1",,,,,"T")))</f>
        <v>9</v>
      </c>
      <c r="AC13" s="56"/>
      <c r="AD13" s="56"/>
      <c r="AE13" s="57"/>
    </row>
    <row r="14" spans="1:31" x14ac:dyDescent="0.3">
      <c r="AC14" s="56"/>
      <c r="AD14" s="56"/>
      <c r="AE14" s="57"/>
    </row>
    <row r="15" spans="1:31" ht="8.1" customHeight="1" x14ac:dyDescent="0.3">
      <c r="AC15" s="15"/>
      <c r="AD15" s="15"/>
      <c r="AE15" s="22"/>
    </row>
    <row r="16" spans="1:31" x14ac:dyDescent="0.3">
      <c r="AC16" s="58"/>
      <c r="AD16" s="58"/>
      <c r="AE16" s="59"/>
    </row>
    <row r="17" spans="18:31" x14ac:dyDescent="0.3">
      <c r="AC17" s="58"/>
      <c r="AD17" s="58"/>
      <c r="AE17" s="59"/>
    </row>
    <row r="18" spans="18:31" x14ac:dyDescent="0.3">
      <c r="AC18" s="58"/>
      <c r="AD18" s="58"/>
      <c r="AE18" s="59"/>
    </row>
    <row r="19" spans="18:31" x14ac:dyDescent="0.3">
      <c r="AC19" s="58"/>
      <c r="AD19" s="58"/>
      <c r="AE19" s="59"/>
    </row>
    <row r="20" spans="18:31" ht="8.1" customHeight="1" x14ac:dyDescent="0.3">
      <c r="R20" s="8"/>
      <c r="S20" s="8"/>
      <c r="AC20" s="15"/>
      <c r="AD20" s="15"/>
      <c r="AE20" s="22"/>
    </row>
    <row r="21" spans="18:31" x14ac:dyDescent="0.3">
      <c r="R21" s="8"/>
      <c r="S21" s="8"/>
      <c r="AC21" s="60"/>
      <c r="AD21" s="60"/>
      <c r="AE21" s="61"/>
    </row>
    <row r="22" spans="18:31" x14ac:dyDescent="0.3">
      <c r="R22" s="8"/>
      <c r="S22" s="8"/>
      <c r="AC22" s="60"/>
      <c r="AD22" s="60"/>
      <c r="AE22" s="61"/>
    </row>
    <row r="23" spans="18:31" x14ac:dyDescent="0.3">
      <c r="R23" s="8"/>
      <c r="S23" s="8"/>
      <c r="AC23" s="60"/>
      <c r="AD23" s="60"/>
      <c r="AE23" s="61"/>
    </row>
    <row r="24" spans="18:31" x14ac:dyDescent="0.3">
      <c r="R24" s="8"/>
      <c r="S24" s="8"/>
      <c r="AC24" s="60"/>
      <c r="AD24" s="60"/>
      <c r="AE24" s="61"/>
    </row>
    <row r="25" spans="18:31" ht="8.1" customHeight="1" x14ac:dyDescent="0.3">
      <c r="AC25" s="15"/>
      <c r="AD25" s="15"/>
      <c r="AE25" s="22"/>
    </row>
    <row r="26" spans="18:31" x14ac:dyDescent="0.3">
      <c r="AC26" s="62"/>
      <c r="AD26" s="62"/>
      <c r="AE26" s="63"/>
    </row>
    <row r="27" spans="18:31" x14ac:dyDescent="0.3">
      <c r="AC27" s="62"/>
      <c r="AD27" s="62"/>
      <c r="AE27" s="63"/>
    </row>
    <row r="28" spans="18:31" x14ac:dyDescent="0.3">
      <c r="AC28" s="62"/>
      <c r="AD28" s="62"/>
      <c r="AE28" s="63"/>
    </row>
    <row r="29" spans="18:31" x14ac:dyDescent="0.3">
      <c r="AC29" s="62"/>
      <c r="AD29" s="62"/>
      <c r="AE29" s="63"/>
    </row>
    <row r="30" spans="18:31" ht="8.1" customHeight="1" x14ac:dyDescent="0.3">
      <c r="AC30" s="15"/>
      <c r="AD30" s="15"/>
      <c r="AE30" s="22"/>
    </row>
    <row r="31" spans="18:31" x14ac:dyDescent="0.3">
      <c r="AC31" s="64"/>
      <c r="AD31" s="64"/>
      <c r="AE31" s="65"/>
    </row>
    <row r="32" spans="18:31" x14ac:dyDescent="0.3">
      <c r="AC32" s="64"/>
      <c r="AD32" s="64"/>
      <c r="AE32" s="65"/>
    </row>
    <row r="33" spans="29:31" x14ac:dyDescent="0.3">
      <c r="AC33" s="64"/>
      <c r="AD33" s="64"/>
      <c r="AE33" s="65"/>
    </row>
    <row r="34" spans="29:31" x14ac:dyDescent="0.3">
      <c r="AC34" s="64"/>
      <c r="AD34" s="64"/>
      <c r="AE34" s="65"/>
    </row>
    <row r="35" spans="29:31" x14ac:dyDescent="0.3">
      <c r="AC35" s="92">
        <f>RTD("cqg.rtd", ,"SystemInfo", "Linetime")+14/24</f>
        <v>45089.894317129634</v>
      </c>
      <c r="AD35" s="92"/>
      <c r="AE35" s="36"/>
    </row>
    <row r="45" spans="29:31" ht="17.25" customHeight="1" x14ac:dyDescent="0.3"/>
    <row r="46" spans="29:31" ht="17.25" customHeight="1" x14ac:dyDescent="0.3"/>
  </sheetData>
  <sheetProtection algorithmName="SHA-512" hashValue="NMyHTwZFuyuI65rBQ9G6LuUJgNOD+q1jmMcJjL/ROkoxjwDSd4kTeJ+oIUr/nwdSbR+GYCUMIP84fE+DrKZhuw==" saltValue="3c/lQSXZeAWrF1KW15Qq5Q==" spinCount="100000" sheet="1" objects="1" scenarios="1" selectLockedCells="1"/>
  <mergeCells count="27">
    <mergeCell ref="B4:E5"/>
    <mergeCell ref="B2:D3"/>
    <mergeCell ref="E2:F3"/>
    <mergeCell ref="R11:T11"/>
    <mergeCell ref="B11:J11"/>
    <mergeCell ref="J4:K4"/>
    <mergeCell ref="G2:I3"/>
    <mergeCell ref="N4:O5"/>
    <mergeCell ref="N11:O11"/>
    <mergeCell ref="P7:R7"/>
    <mergeCell ref="P8:R8"/>
    <mergeCell ref="P9:R9"/>
    <mergeCell ref="AC35:AD35"/>
    <mergeCell ref="AA11:AB11"/>
    <mergeCell ref="Y11:Z11"/>
    <mergeCell ref="W11:X11"/>
    <mergeCell ref="AB4:AE5"/>
    <mergeCell ref="Z5:AA5"/>
    <mergeCell ref="V4:W5"/>
    <mergeCell ref="X4:Y5"/>
    <mergeCell ref="U11:V11"/>
    <mergeCell ref="T4:U5"/>
    <mergeCell ref="Y2:Z3"/>
    <mergeCell ref="AA2:AB3"/>
    <mergeCell ref="J2:X3"/>
    <mergeCell ref="J5:K5"/>
    <mergeCell ref="P6:R6"/>
  </mergeCells>
  <conditionalFormatting sqref="K6">
    <cfRule type="expression" dxfId="21" priority="273">
      <formula>M6=1</formula>
    </cfRule>
  </conditionalFormatting>
  <conditionalFormatting sqref="K7">
    <cfRule type="expression" dxfId="20" priority="272">
      <formula>M7=1</formula>
    </cfRule>
  </conditionalFormatting>
  <conditionalFormatting sqref="B6:E6">
    <cfRule type="expression" dxfId="19" priority="266">
      <formula>H6=1</formula>
    </cfRule>
  </conditionalFormatting>
  <conditionalFormatting sqref="B7:E7">
    <cfRule type="expression" dxfId="18" priority="260">
      <formula>H7=1</formula>
    </cfRule>
  </conditionalFormatting>
  <conditionalFormatting sqref="B8:E8">
    <cfRule type="expression" dxfId="17" priority="258">
      <formula>H8=1</formula>
    </cfRule>
  </conditionalFormatting>
  <conditionalFormatting sqref="B9:E9">
    <cfRule type="expression" dxfId="16" priority="256">
      <formula>H9=1</formula>
    </cfRule>
  </conditionalFormatting>
  <conditionalFormatting sqref="K10">
    <cfRule type="expression" dxfId="15" priority="223">
      <formula>M10=1</formula>
    </cfRule>
  </conditionalFormatting>
  <conditionalFormatting sqref="Z6">
    <cfRule type="expression" dxfId="14" priority="203">
      <formula>Z6&gt;AA6</formula>
    </cfRule>
  </conditionalFormatting>
  <conditionalFormatting sqref="Y10">
    <cfRule type="expression" dxfId="13" priority="135">
      <formula>AA10=1</formula>
    </cfRule>
  </conditionalFormatting>
  <conditionalFormatting sqref="AD10">
    <cfRule type="colorScale" priority="13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15">
    <cfRule type="colorScale" priority="13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20">
    <cfRule type="colorScale" priority="13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25">
    <cfRule type="colorScale" priority="12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30">
    <cfRule type="colorScale" priority="12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:AE6">
    <cfRule type="expression" dxfId="12" priority="124">
      <formula>H6=1</formula>
    </cfRule>
  </conditionalFormatting>
  <conditionalFormatting sqref="AB7:AE7">
    <cfRule type="expression" dxfId="11" priority="123">
      <formula>H7=1</formula>
    </cfRule>
  </conditionalFormatting>
  <conditionalFormatting sqref="AB8:AE8">
    <cfRule type="expression" dxfId="10" priority="122">
      <formula>H8=1</formula>
    </cfRule>
  </conditionalFormatting>
  <conditionalFormatting sqref="AB9:AE9">
    <cfRule type="expression" dxfId="9" priority="121">
      <formula>H9=1</formula>
    </cfRule>
  </conditionalFormatting>
  <conditionalFormatting sqref="W6:W9">
    <cfRule type="dataBar" priority="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{8F5CB646-8298-402E-A5D8-F94A6E7516A6}</x14:id>
        </ext>
      </extLst>
    </cfRule>
  </conditionalFormatting>
  <conditionalFormatting sqref="Z7">
    <cfRule type="expression" dxfId="8" priority="60">
      <formula>Z7&gt;AA7</formula>
    </cfRule>
  </conditionalFormatting>
  <conditionalFormatting sqref="Z8">
    <cfRule type="expression" dxfId="7" priority="59">
      <formula>Z8&gt;AA8</formula>
    </cfRule>
  </conditionalFormatting>
  <conditionalFormatting sqref="Z9">
    <cfRule type="expression" dxfId="6" priority="58">
      <formula>Z9&gt;AA9</formula>
    </cfRule>
  </conditionalFormatting>
  <conditionalFormatting sqref="K8">
    <cfRule type="expression" dxfId="5" priority="29">
      <formula>M8=1</formula>
    </cfRule>
  </conditionalFormatting>
  <conditionalFormatting sqref="K9">
    <cfRule type="expression" dxfId="4" priority="28">
      <formula>M9=1</formula>
    </cfRule>
  </conditionalFormatting>
  <conditionalFormatting sqref="J6:J9">
    <cfRule type="dataBar" priority="3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{0BC2BA55-4E44-4B7A-8278-9CC76E7F8215}</x14:id>
        </ext>
      </extLst>
    </cfRule>
  </conditionalFormatting>
  <conditionalFormatting sqref="T6:T9">
    <cfRule type="dataBar" priority="3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{6D1DE649-F211-4BB3-B03F-6205335DAF84}</x14:id>
        </ext>
      </extLst>
    </cfRule>
  </conditionalFormatting>
  <conditionalFormatting sqref="Y6:Y9">
    <cfRule type="colorScale" priority="31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9">
    <cfRule type="colorScale" priority="313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L6:L10">
    <cfRule type="top10" dxfId="3" priority="314" rank="1"/>
  </conditionalFormatting>
  <conditionalFormatting sqref="P6:S10">
    <cfRule type="top10" dxfId="2" priority="318" rank="1"/>
  </conditionalFormatting>
  <conditionalFormatting sqref="K6:K10">
    <cfRule type="top10" dxfId="1" priority="322" rank="1"/>
  </conditionalFormatting>
  <conditionalFormatting sqref="U6:U9">
    <cfRule type="top10" dxfId="0" priority="325" rank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5CB646-8298-402E-A5D8-F94A6E7516A6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W6:W9</xm:sqref>
        </x14:conditionalFormatting>
        <x14:conditionalFormatting xmlns:xm="http://schemas.microsoft.com/office/excel/2006/main">
          <x14:cfRule type="dataBar" id="{0BC2BA55-4E44-4B7A-8278-9CC76E7F8215}">
            <x14:dataBar minLength="0" maxLength="100" negativeBarColorSameAsPositive="1" axisPosition="none">
              <x14:cfvo type="min"/>
              <x14:cfvo type="max"/>
            </x14:dataBar>
          </x14:cfRule>
          <xm:sqref>J6:J9</xm:sqref>
        </x14:conditionalFormatting>
        <x14:conditionalFormatting xmlns:xm="http://schemas.microsoft.com/office/excel/2006/main">
          <x14:cfRule type="dataBar" id="{6D1DE649-F211-4BB3-B03F-6205335DAF84}">
            <x14:dataBar minLength="0" maxLength="100" negativeBarColorSameAsPositive="1" axisPosition="none">
              <x14:cfvo type="min"/>
              <x14:cfvo type="max"/>
            </x14:dataBar>
          </x14:cfRule>
          <xm:sqref>T6:T9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Contracts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2023-06-12T12:27:51Z</dcterms:modified>
</cp:coreProperties>
</file>