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E1C24039-A137-49BE-A75D-946FF0594961}" xr6:coauthVersionLast="47" xr6:coauthVersionMax="47" xr10:uidLastSave="{00000000-0000-0000-0000-000000000000}"/>
  <bookViews>
    <workbookView showVerticalScroll="0" xWindow="-120" yWindow="-120" windowWidth="29040" windowHeight="16440" xr2:uid="{00000000-000D-0000-FFFF-FFFF00000000}"/>
  </bookViews>
  <sheets>
    <sheet name="Main" sheetId="2" r:id="rId1"/>
    <sheet name="CLE" sheetId="6" state="hidden" r:id="rId2"/>
    <sheet name="CLE2" sheetId="7" state="hidden" r:id="rId3"/>
    <sheet name="CLE3" sheetId="8" state="hidden" r:id="rId4"/>
    <sheet name="CLE4" sheetId="9" state="hidden" r:id="rId5"/>
    <sheet name="CLE5" sheetId="10" state="hidden" r:id="rId6"/>
    <sheet name="CLE6" sheetId="11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6" i="11" l="1"/>
  <c r="R45" i="11"/>
  <c r="R44" i="11"/>
  <c r="R43" i="11"/>
  <c r="R42" i="11"/>
  <c r="R41" i="11"/>
  <c r="R40" i="11"/>
  <c r="R39" i="11"/>
  <c r="R38" i="11"/>
  <c r="R37" i="11"/>
  <c r="R36" i="11"/>
  <c r="D16" i="11"/>
  <c r="C16" i="11"/>
  <c r="B16" i="11"/>
  <c r="A16" i="11"/>
  <c r="Q1" i="11"/>
  <c r="J25" i="11" s="1"/>
  <c r="M25" i="11" s="1"/>
  <c r="R46" i="10"/>
  <c r="R45" i="10"/>
  <c r="R44" i="10"/>
  <c r="R43" i="10"/>
  <c r="R42" i="10"/>
  <c r="R41" i="10"/>
  <c r="R40" i="10"/>
  <c r="R39" i="10"/>
  <c r="R38" i="10"/>
  <c r="R37" i="10"/>
  <c r="R36" i="10"/>
  <c r="D16" i="10"/>
  <c r="C16" i="10"/>
  <c r="B16" i="10"/>
  <c r="A16" i="10"/>
  <c r="Q1" i="10"/>
  <c r="J25" i="10" s="1"/>
  <c r="M25" i="10" s="1"/>
  <c r="R46" i="9"/>
  <c r="R45" i="9"/>
  <c r="R44" i="9"/>
  <c r="R43" i="9"/>
  <c r="R42" i="9"/>
  <c r="R41" i="9"/>
  <c r="R40" i="9"/>
  <c r="R39" i="9"/>
  <c r="R38" i="9"/>
  <c r="R37" i="9"/>
  <c r="R36" i="9"/>
  <c r="D16" i="9"/>
  <c r="C16" i="9"/>
  <c r="B16" i="9"/>
  <c r="A16" i="9"/>
  <c r="Q1" i="9"/>
  <c r="I27" i="9" s="1"/>
  <c r="R46" i="8"/>
  <c r="R45" i="8"/>
  <c r="R44" i="8"/>
  <c r="R43" i="8"/>
  <c r="R42" i="8"/>
  <c r="R41" i="8"/>
  <c r="R40" i="8"/>
  <c r="R39" i="8"/>
  <c r="R38" i="8"/>
  <c r="R37" i="8"/>
  <c r="R36" i="8"/>
  <c r="D16" i="8"/>
  <c r="C16" i="8"/>
  <c r="B16" i="8"/>
  <c r="A16" i="8"/>
  <c r="Q1" i="8"/>
  <c r="J21" i="8" s="1"/>
  <c r="M21" i="8" s="1"/>
  <c r="R46" i="7"/>
  <c r="R45" i="7"/>
  <c r="R44" i="7"/>
  <c r="R43" i="7"/>
  <c r="R42" i="7"/>
  <c r="R41" i="7"/>
  <c r="R40" i="7"/>
  <c r="R39" i="7"/>
  <c r="R38" i="7"/>
  <c r="R37" i="7"/>
  <c r="R36" i="7"/>
  <c r="D16" i="7"/>
  <c r="C16" i="7"/>
  <c r="B16" i="7"/>
  <c r="A16" i="7"/>
  <c r="Q1" i="7"/>
  <c r="S35" i="7" s="1"/>
  <c r="R46" i="6"/>
  <c r="R45" i="6"/>
  <c r="R44" i="6"/>
  <c r="R43" i="6"/>
  <c r="R42" i="6"/>
  <c r="R41" i="6"/>
  <c r="R40" i="6"/>
  <c r="R39" i="6"/>
  <c r="R38" i="6"/>
  <c r="R37" i="6"/>
  <c r="R36" i="6"/>
  <c r="D16" i="6"/>
  <c r="C16" i="6"/>
  <c r="B16" i="6"/>
  <c r="A16" i="6"/>
  <c r="Q1" i="6"/>
  <c r="I21" i="6" s="1"/>
  <c r="AG128" i="2"/>
  <c r="AE128" i="2"/>
  <c r="AG127" i="2"/>
  <c r="AE127" i="2"/>
  <c r="AG126" i="2"/>
  <c r="AE126" i="2"/>
  <c r="AG125" i="2"/>
  <c r="AE125" i="2"/>
  <c r="AG124" i="2"/>
  <c r="AE124" i="2"/>
  <c r="AG123" i="2"/>
  <c r="AE123" i="2"/>
  <c r="AG122" i="2"/>
  <c r="AE122" i="2"/>
  <c r="AR6" i="2"/>
  <c r="AQ6" i="2"/>
  <c r="AD6" i="2"/>
  <c r="AC6" i="2"/>
  <c r="AB6" i="2"/>
  <c r="Z6" i="2"/>
  <c r="U3" i="2"/>
  <c r="C1" i="2"/>
  <c r="D1" i="2" s="1" a="1"/>
  <c r="D1" i="2" s="1"/>
  <c r="E29" i="6" s="1"/>
  <c r="A102" i="2" l="1"/>
  <c r="A66" i="2"/>
  <c r="A118" i="2"/>
  <c r="B118" i="2" s="1"/>
  <c r="E29" i="8"/>
  <c r="E29" i="10"/>
  <c r="K25" i="10" s="1"/>
  <c r="E29" i="9"/>
  <c r="E29" i="11"/>
  <c r="E29" i="7"/>
  <c r="B102" i="2"/>
  <c r="Q3" i="7"/>
  <c r="P3" i="7" s="1"/>
  <c r="AH3" i="7" s="1"/>
  <c r="I19" i="7"/>
  <c r="Q4" i="7"/>
  <c r="R4" i="7" s="1"/>
  <c r="J21" i="7"/>
  <c r="U6" i="7"/>
  <c r="T22" i="6"/>
  <c r="U11" i="7"/>
  <c r="I16" i="9"/>
  <c r="J27" i="9"/>
  <c r="U2" i="9"/>
  <c r="J17" i="10"/>
  <c r="I26" i="6"/>
  <c r="U7" i="7"/>
  <c r="I24" i="7"/>
  <c r="Q3" i="9"/>
  <c r="S3" i="9" s="1"/>
  <c r="I21" i="9"/>
  <c r="Q4" i="10"/>
  <c r="AJ4" i="10" s="1"/>
  <c r="AL4" i="10" s="1"/>
  <c r="S36" i="10"/>
  <c r="J24" i="7"/>
  <c r="A53" i="2" s="1"/>
  <c r="Q7" i="9"/>
  <c r="AJ7" i="9" s="1"/>
  <c r="AL7" i="9" s="1"/>
  <c r="J21" i="9"/>
  <c r="A82" i="2" s="1"/>
  <c r="Q5" i="10"/>
  <c r="AJ5" i="10" s="1"/>
  <c r="AL5" i="10" s="1"/>
  <c r="I22" i="11"/>
  <c r="Q9" i="6"/>
  <c r="S9" i="6" s="1"/>
  <c r="I26" i="8"/>
  <c r="U7" i="9"/>
  <c r="I25" i="9"/>
  <c r="U5" i="11"/>
  <c r="K21" i="8"/>
  <c r="T29" i="6"/>
  <c r="U4" i="7"/>
  <c r="J23" i="7"/>
  <c r="A52" i="2" s="1"/>
  <c r="Q7" i="8"/>
  <c r="P7" i="8" s="1"/>
  <c r="AH7" i="8" s="1"/>
  <c r="S35" i="8"/>
  <c r="Q5" i="9"/>
  <c r="P5" i="9" s="1"/>
  <c r="AH5" i="9" s="1"/>
  <c r="I24" i="9"/>
  <c r="Q2" i="10"/>
  <c r="P2" i="10" s="1"/>
  <c r="AH2" i="10" s="1"/>
  <c r="I18" i="11"/>
  <c r="J16" i="8"/>
  <c r="A61" i="2" s="1"/>
  <c r="Q6" i="6"/>
  <c r="P6" i="6" s="1"/>
  <c r="I17" i="6"/>
  <c r="U9" i="7"/>
  <c r="I16" i="7"/>
  <c r="I26" i="7"/>
  <c r="U9" i="8"/>
  <c r="J18" i="8"/>
  <c r="U9" i="9"/>
  <c r="I17" i="9"/>
  <c r="Q6" i="10"/>
  <c r="A6" i="10" s="1"/>
  <c r="B6" i="10" s="1"/>
  <c r="C6" i="10" s="1"/>
  <c r="D6" i="10" s="1"/>
  <c r="J20" i="10"/>
  <c r="A97" i="2" s="1"/>
  <c r="U7" i="11"/>
  <c r="I26" i="11"/>
  <c r="Q9" i="8"/>
  <c r="P9" i="8" s="1"/>
  <c r="AH9" i="8" s="1"/>
  <c r="S36" i="8"/>
  <c r="Q10" i="7"/>
  <c r="P10" i="7" s="1"/>
  <c r="AH10" i="7" s="1"/>
  <c r="J16" i="7"/>
  <c r="U10" i="8"/>
  <c r="J20" i="8"/>
  <c r="A65" i="2" s="1"/>
  <c r="U11" i="9"/>
  <c r="J17" i="9"/>
  <c r="A78" i="2" s="1"/>
  <c r="S36" i="9"/>
  <c r="Q8" i="10"/>
  <c r="P8" i="10" s="1"/>
  <c r="AH8" i="10" s="1"/>
  <c r="I23" i="10"/>
  <c r="Q11" i="11"/>
  <c r="R11" i="11" s="1"/>
  <c r="Q8" i="8"/>
  <c r="T8" i="8" s="1"/>
  <c r="B66" i="2"/>
  <c r="U6" i="6"/>
  <c r="I19" i="6"/>
  <c r="U7" i="6"/>
  <c r="Q2" i="7"/>
  <c r="A2" i="7" s="1"/>
  <c r="B2" i="7" s="1"/>
  <c r="C2" i="7" s="1"/>
  <c r="D2" i="7" s="1"/>
  <c r="V2" i="7" s="1"/>
  <c r="AI2" i="7" s="1"/>
  <c r="Q11" i="7"/>
  <c r="A11" i="7" s="1"/>
  <c r="B11" i="7" s="1"/>
  <c r="C11" i="7" s="1"/>
  <c r="M2" i="7" s="1"/>
  <c r="V11" i="7" s="1"/>
  <c r="AI11" i="7" s="1"/>
  <c r="I18" i="7"/>
  <c r="E18" i="7" s="1"/>
  <c r="U13" i="8"/>
  <c r="J22" i="8"/>
  <c r="U13" i="9"/>
  <c r="I20" i="9"/>
  <c r="U13" i="10"/>
  <c r="I24" i="8"/>
  <c r="K25" i="11"/>
  <c r="T33" i="6"/>
  <c r="J26" i="6"/>
  <c r="A39" i="2" s="1"/>
  <c r="I23" i="6"/>
  <c r="I20" i="6"/>
  <c r="J18" i="6"/>
  <c r="A31" i="2" s="1"/>
  <c r="J16" i="6"/>
  <c r="A29" i="2" s="1"/>
  <c r="U13" i="6"/>
  <c r="U12" i="6"/>
  <c r="U10" i="6"/>
  <c r="T32" i="6"/>
  <c r="J27" i="6"/>
  <c r="A40" i="2" s="1"/>
  <c r="T31" i="6"/>
  <c r="I27" i="6"/>
  <c r="T25" i="6"/>
  <c r="T30" i="6"/>
  <c r="S35" i="6"/>
  <c r="T27" i="6"/>
  <c r="I25" i="6"/>
  <c r="T21" i="6"/>
  <c r="U2" i="6"/>
  <c r="Q5" i="6"/>
  <c r="AJ5" i="6" s="1"/>
  <c r="AL5" i="6" s="1"/>
  <c r="U8" i="6"/>
  <c r="J17" i="6"/>
  <c r="A30" i="2" s="1"/>
  <c r="J19" i="6"/>
  <c r="A32" i="2" s="1"/>
  <c r="J21" i="6"/>
  <c r="A34" i="2" s="1"/>
  <c r="J23" i="6"/>
  <c r="A36" i="2" s="1"/>
  <c r="T34" i="6"/>
  <c r="Q4" i="6"/>
  <c r="S4" i="6" s="1"/>
  <c r="Q11" i="6"/>
  <c r="A11" i="6" s="1"/>
  <c r="B11" i="6" s="1"/>
  <c r="C11" i="6" s="1"/>
  <c r="Q13" i="6"/>
  <c r="I24" i="6"/>
  <c r="S36" i="6"/>
  <c r="U9" i="6"/>
  <c r="I18" i="6"/>
  <c r="J20" i="6"/>
  <c r="A33" i="2" s="1"/>
  <c r="I22" i="6"/>
  <c r="J24" i="6"/>
  <c r="A37" i="2" s="1"/>
  <c r="Q3" i="6"/>
  <c r="R3" i="6" s="1"/>
  <c r="U4" i="6"/>
  <c r="U5" i="6"/>
  <c r="Q8" i="6"/>
  <c r="AH8" i="6" s="1"/>
  <c r="U11" i="6"/>
  <c r="I16" i="6"/>
  <c r="J22" i="6"/>
  <c r="A35" i="2" s="1"/>
  <c r="T26" i="6"/>
  <c r="P4" i="7"/>
  <c r="AH4" i="7" s="1"/>
  <c r="Q2" i="6"/>
  <c r="T2" i="6" s="1"/>
  <c r="T24" i="6"/>
  <c r="U3" i="6"/>
  <c r="Q7" i="6"/>
  <c r="AH7" i="6" s="1"/>
  <c r="Q10" i="6"/>
  <c r="T10" i="6" s="1"/>
  <c r="Q12" i="6"/>
  <c r="P12" i="6" s="1"/>
  <c r="J25" i="6"/>
  <c r="A38" i="2" s="1"/>
  <c r="T28" i="6"/>
  <c r="U2" i="7"/>
  <c r="Q7" i="7"/>
  <c r="S7" i="7" s="1"/>
  <c r="Q13" i="7"/>
  <c r="A13" i="7" s="1"/>
  <c r="B13" i="7" s="1"/>
  <c r="C13" i="7" s="1"/>
  <c r="J18" i="7"/>
  <c r="A47" i="2" s="1"/>
  <c r="I21" i="7"/>
  <c r="J26" i="7"/>
  <c r="A55" i="2" s="1"/>
  <c r="S36" i="7"/>
  <c r="Q2" i="8"/>
  <c r="S2" i="8" s="1"/>
  <c r="Q3" i="8"/>
  <c r="T3" i="8" s="1"/>
  <c r="Q5" i="8"/>
  <c r="P5" i="8" s="1"/>
  <c r="AH5" i="8" s="1"/>
  <c r="Q12" i="8"/>
  <c r="I16" i="8"/>
  <c r="I18" i="8"/>
  <c r="I20" i="8"/>
  <c r="I22" i="8"/>
  <c r="J24" i="8"/>
  <c r="A69" i="2" s="1"/>
  <c r="J26" i="8"/>
  <c r="A71" i="2" s="1"/>
  <c r="U4" i="9"/>
  <c r="J16" i="9"/>
  <c r="A77" i="2" s="1"/>
  <c r="J20" i="9"/>
  <c r="A81" i="2" s="1"/>
  <c r="J24" i="9"/>
  <c r="A85" i="2" s="1"/>
  <c r="S35" i="9"/>
  <c r="U2" i="10"/>
  <c r="Q7" i="10"/>
  <c r="S7" i="10" s="1"/>
  <c r="Q9" i="10"/>
  <c r="Q10" i="10"/>
  <c r="S10" i="10" s="1"/>
  <c r="J23" i="10"/>
  <c r="A100" i="2" s="1"/>
  <c r="I26" i="10"/>
  <c r="Q3" i="11"/>
  <c r="T3" i="11" s="1"/>
  <c r="Q6" i="11"/>
  <c r="R6" i="11" s="1"/>
  <c r="J18" i="11"/>
  <c r="A111" i="2" s="1"/>
  <c r="J22" i="11"/>
  <c r="A115" i="2" s="1"/>
  <c r="J26" i="11"/>
  <c r="A119" i="2" s="1"/>
  <c r="U11" i="10"/>
  <c r="U12" i="10"/>
  <c r="I18" i="10"/>
  <c r="I21" i="10"/>
  <c r="J26" i="10"/>
  <c r="A103" i="2" s="1"/>
  <c r="Q8" i="11"/>
  <c r="P8" i="11" s="1"/>
  <c r="AH8" i="11" s="1"/>
  <c r="U11" i="11"/>
  <c r="I19" i="11"/>
  <c r="I23" i="11"/>
  <c r="I27" i="11"/>
  <c r="J18" i="10"/>
  <c r="A95" i="2" s="1"/>
  <c r="J21" i="10"/>
  <c r="A98" i="2" s="1"/>
  <c r="I24" i="10"/>
  <c r="U3" i="11"/>
  <c r="U6" i="11"/>
  <c r="U8" i="11"/>
  <c r="J19" i="11"/>
  <c r="A112" i="2" s="1"/>
  <c r="J23" i="11"/>
  <c r="A116" i="2" s="1"/>
  <c r="J27" i="11"/>
  <c r="A120" i="2" s="1"/>
  <c r="Q5" i="7"/>
  <c r="A5" i="7" s="1"/>
  <c r="B5" i="7" s="1"/>
  <c r="C5" i="7" s="1"/>
  <c r="Q8" i="7"/>
  <c r="T8" i="7" s="1"/>
  <c r="Q12" i="7"/>
  <c r="P12" i="7" s="1"/>
  <c r="AH12" i="7" s="1"/>
  <c r="U13" i="7"/>
  <c r="J19" i="7"/>
  <c r="A48" i="2" s="1"/>
  <c r="I22" i="7"/>
  <c r="I27" i="7"/>
  <c r="U2" i="8"/>
  <c r="U3" i="8"/>
  <c r="U5" i="8"/>
  <c r="U8" i="8"/>
  <c r="Q11" i="8"/>
  <c r="AJ11" i="8" s="1"/>
  <c r="AL11" i="8" s="1"/>
  <c r="U12" i="8"/>
  <c r="I23" i="8"/>
  <c r="I25" i="8"/>
  <c r="I27" i="8"/>
  <c r="U3" i="9"/>
  <c r="U5" i="9"/>
  <c r="Q8" i="9"/>
  <c r="T8" i="9" s="1"/>
  <c r="Q10" i="9"/>
  <c r="A10" i="9" s="1"/>
  <c r="B10" i="9" s="1"/>
  <c r="C10" i="9" s="1"/>
  <c r="Q12" i="9"/>
  <c r="A12" i="9" s="1"/>
  <c r="B12" i="9" s="1"/>
  <c r="C12" i="9" s="1"/>
  <c r="I18" i="9"/>
  <c r="I22" i="9"/>
  <c r="J25" i="9"/>
  <c r="A86" i="2" s="1"/>
  <c r="Q3" i="10"/>
  <c r="S3" i="10" s="1"/>
  <c r="U7" i="10"/>
  <c r="U8" i="10"/>
  <c r="U10" i="10"/>
  <c r="J24" i="10"/>
  <c r="A101" i="2" s="1"/>
  <c r="I27" i="10"/>
  <c r="Q9" i="11"/>
  <c r="S9" i="11" s="1"/>
  <c r="Q12" i="11"/>
  <c r="R12" i="11" s="1"/>
  <c r="I16" i="11"/>
  <c r="I20" i="11"/>
  <c r="I24" i="11"/>
  <c r="S35" i="11"/>
  <c r="U5" i="7"/>
  <c r="U10" i="7"/>
  <c r="I17" i="7"/>
  <c r="J22" i="7"/>
  <c r="A51" i="2" s="1"/>
  <c r="I25" i="7"/>
  <c r="J27" i="7"/>
  <c r="A56" i="2" s="1"/>
  <c r="I17" i="8"/>
  <c r="I19" i="8"/>
  <c r="J23" i="8"/>
  <c r="A68" i="2" s="1"/>
  <c r="J25" i="8"/>
  <c r="A70" i="2" s="1"/>
  <c r="J27" i="8"/>
  <c r="A72" i="2" s="1"/>
  <c r="Q6" i="9"/>
  <c r="U8" i="9"/>
  <c r="U10" i="9"/>
  <c r="U12" i="9"/>
  <c r="J18" i="9"/>
  <c r="A79" i="2" s="1"/>
  <c r="J22" i="9"/>
  <c r="A83" i="2" s="1"/>
  <c r="I26" i="9"/>
  <c r="U9" i="10"/>
  <c r="Q13" i="10"/>
  <c r="S13" i="10" s="1"/>
  <c r="I16" i="10"/>
  <c r="I19" i="10"/>
  <c r="I22" i="10"/>
  <c r="J27" i="10"/>
  <c r="A104" i="2" s="1"/>
  <c r="Q2" i="11"/>
  <c r="R2" i="11" s="1"/>
  <c r="Q4" i="11"/>
  <c r="R4" i="11" s="1"/>
  <c r="U9" i="11"/>
  <c r="U12" i="11"/>
  <c r="J16" i="11"/>
  <c r="J20" i="11"/>
  <c r="A113" i="2" s="1"/>
  <c r="J24" i="11"/>
  <c r="A117" i="2" s="1"/>
  <c r="U3" i="7"/>
  <c r="U8" i="7"/>
  <c r="J17" i="7"/>
  <c r="A46" i="2" s="1"/>
  <c r="I20" i="7"/>
  <c r="J25" i="7"/>
  <c r="A54" i="2" s="1"/>
  <c r="Q4" i="8"/>
  <c r="T4" i="8" s="1"/>
  <c r="Q6" i="8"/>
  <c r="Q10" i="8"/>
  <c r="U11" i="8"/>
  <c r="J17" i="8"/>
  <c r="A62" i="2" s="1"/>
  <c r="J19" i="8"/>
  <c r="A64" i="2" s="1"/>
  <c r="I21" i="8"/>
  <c r="U6" i="9"/>
  <c r="I19" i="9"/>
  <c r="I23" i="9"/>
  <c r="J26" i="9"/>
  <c r="A87" i="2" s="1"/>
  <c r="U4" i="10"/>
  <c r="U6" i="10"/>
  <c r="Q12" i="10"/>
  <c r="J16" i="10"/>
  <c r="A93" i="2" s="1"/>
  <c r="J19" i="10"/>
  <c r="A96" i="2" s="1"/>
  <c r="J22" i="10"/>
  <c r="A99" i="2" s="1"/>
  <c r="I25" i="10"/>
  <c r="S35" i="10"/>
  <c r="U4" i="11"/>
  <c r="Q7" i="11"/>
  <c r="T7" i="11" s="1"/>
  <c r="Q10" i="11"/>
  <c r="T10" i="11" s="1"/>
  <c r="Q13" i="11"/>
  <c r="R13" i="11" s="1"/>
  <c r="I17" i="11"/>
  <c r="I21" i="11"/>
  <c r="I25" i="11"/>
  <c r="S36" i="11"/>
  <c r="Q6" i="7"/>
  <c r="T6" i="7" s="1"/>
  <c r="Q9" i="7"/>
  <c r="P9" i="7" s="1"/>
  <c r="AH9" i="7" s="1"/>
  <c r="U12" i="7"/>
  <c r="J20" i="7"/>
  <c r="A49" i="2" s="1"/>
  <c r="I23" i="7"/>
  <c r="U4" i="8"/>
  <c r="U6" i="8"/>
  <c r="U7" i="8"/>
  <c r="Q13" i="8"/>
  <c r="S13" i="8" s="1"/>
  <c r="Q2" i="9"/>
  <c r="A2" i="9" s="1"/>
  <c r="B2" i="9" s="1"/>
  <c r="C2" i="9" s="1"/>
  <c r="D2" i="9" s="1"/>
  <c r="V2" i="9" s="1"/>
  <c r="Q4" i="9"/>
  <c r="T4" i="9" s="1"/>
  <c r="Q9" i="9"/>
  <c r="R9" i="9" s="1"/>
  <c r="Q11" i="9"/>
  <c r="A11" i="9" s="1"/>
  <c r="B11" i="9" s="1"/>
  <c r="C11" i="9" s="1"/>
  <c r="Q13" i="9"/>
  <c r="J19" i="9"/>
  <c r="A80" i="2" s="1"/>
  <c r="J23" i="9"/>
  <c r="A84" i="2" s="1"/>
  <c r="U3" i="10"/>
  <c r="U5" i="10"/>
  <c r="Q11" i="10"/>
  <c r="S11" i="10" s="1"/>
  <c r="I17" i="10"/>
  <c r="I20" i="10"/>
  <c r="U2" i="11"/>
  <c r="Q5" i="11"/>
  <c r="AJ5" i="11" s="1"/>
  <c r="AL5" i="11" s="1"/>
  <c r="U10" i="11"/>
  <c r="U13" i="11"/>
  <c r="J17" i="11"/>
  <c r="A110" i="2" s="1"/>
  <c r="J21" i="11"/>
  <c r="A114" i="2" s="1"/>
  <c r="AJ4" i="7"/>
  <c r="AL4" i="7" s="1"/>
  <c r="S4" i="7"/>
  <c r="T4" i="7"/>
  <c r="A4" i="7"/>
  <c r="B4" i="7" s="1"/>
  <c r="C4" i="7" s="1"/>
  <c r="M18" i="8" l="1"/>
  <c r="K18" i="8" s="1"/>
  <c r="A63" i="2"/>
  <c r="B63" i="2" s="1"/>
  <c r="E63" i="2" s="1"/>
  <c r="M17" i="10"/>
  <c r="K17" i="10" s="1"/>
  <c r="A94" i="2"/>
  <c r="M21" i="7"/>
  <c r="K21" i="7" s="1"/>
  <c r="A50" i="2"/>
  <c r="B50" i="2" s="1"/>
  <c r="G50" i="2" s="1"/>
  <c r="A67" i="2"/>
  <c r="B67" i="2" s="1"/>
  <c r="C67" i="2" s="1"/>
  <c r="J29" i="11"/>
  <c r="A109" i="2"/>
  <c r="M27" i="9"/>
  <c r="K27" i="9" s="1"/>
  <c r="A88" i="2"/>
  <c r="M16" i="7"/>
  <c r="K16" i="7" s="1"/>
  <c r="A45" i="2"/>
  <c r="B45" i="2" s="1"/>
  <c r="Y2" i="9"/>
  <c r="AI2" i="9"/>
  <c r="H102" i="2"/>
  <c r="I118" i="2"/>
  <c r="I66" i="2"/>
  <c r="T3" i="7"/>
  <c r="A3" i="7"/>
  <c r="B3" i="7" s="1"/>
  <c r="C3" i="7" s="1"/>
  <c r="E17" i="7"/>
  <c r="E19" i="8"/>
  <c r="T7" i="8"/>
  <c r="E17" i="8"/>
  <c r="AJ6" i="10"/>
  <c r="AL6" i="10" s="1"/>
  <c r="S6" i="10"/>
  <c r="P9" i="6"/>
  <c r="R6" i="10"/>
  <c r="A9" i="6"/>
  <c r="B9" i="6" s="1"/>
  <c r="C9" i="6" s="1"/>
  <c r="K2" i="6" s="1"/>
  <c r="AJ9" i="6"/>
  <c r="AL9" i="6" s="1"/>
  <c r="R9" i="6"/>
  <c r="E20" i="10"/>
  <c r="E21" i="8"/>
  <c r="T6" i="10"/>
  <c r="E27" i="8"/>
  <c r="E22" i="8"/>
  <c r="P6" i="10"/>
  <c r="AH6" i="10" s="1"/>
  <c r="E20" i="8"/>
  <c r="E24" i="8"/>
  <c r="E18" i="8"/>
  <c r="E25" i="8"/>
  <c r="E16" i="8"/>
  <c r="R10" i="7"/>
  <c r="A10" i="7"/>
  <c r="B10" i="7" s="1"/>
  <c r="C10" i="7" s="1"/>
  <c r="D10" i="7" s="1"/>
  <c r="T10" i="7"/>
  <c r="E23" i="8"/>
  <c r="AJ2" i="7"/>
  <c r="AL2" i="7" s="1"/>
  <c r="E20" i="6"/>
  <c r="P11" i="7"/>
  <c r="AH11" i="7" s="1"/>
  <c r="E26" i="8"/>
  <c r="B94" i="2"/>
  <c r="R3" i="7"/>
  <c r="E23" i="6"/>
  <c r="E19" i="6"/>
  <c r="E18" i="6"/>
  <c r="E27" i="6"/>
  <c r="AJ3" i="7"/>
  <c r="AL3" i="7" s="1"/>
  <c r="E26" i="6"/>
  <c r="E20" i="9"/>
  <c r="E25" i="6"/>
  <c r="E17" i="6"/>
  <c r="E24" i="6"/>
  <c r="E22" i="6"/>
  <c r="E16" i="6"/>
  <c r="E21" i="6"/>
  <c r="AJ7" i="8"/>
  <c r="AL7" i="8" s="1"/>
  <c r="E18" i="10"/>
  <c r="AJ6" i="6"/>
  <c r="AL6" i="6" s="1"/>
  <c r="A6" i="6"/>
  <c r="B6" i="6" s="1"/>
  <c r="C6" i="6" s="1"/>
  <c r="D6" i="6" s="1"/>
  <c r="T4" i="10"/>
  <c r="T6" i="6"/>
  <c r="R6" i="6"/>
  <c r="R4" i="10"/>
  <c r="S6" i="6"/>
  <c r="A20" i="2"/>
  <c r="B20" i="2" s="1"/>
  <c r="AH9" i="6"/>
  <c r="T9" i="6"/>
  <c r="A8" i="8"/>
  <c r="B8" i="8" s="1"/>
  <c r="C8" i="8" s="1"/>
  <c r="D8" i="8" s="1"/>
  <c r="S8" i="8"/>
  <c r="AJ8" i="8"/>
  <c r="AL8" i="8" s="1"/>
  <c r="S4" i="10"/>
  <c r="P4" i="10"/>
  <c r="AH4" i="10" s="1"/>
  <c r="R2" i="7"/>
  <c r="T2" i="7"/>
  <c r="S2" i="7"/>
  <c r="E16" i="7"/>
  <c r="T7" i="9"/>
  <c r="A7" i="9"/>
  <c r="B7" i="9" s="1"/>
  <c r="C7" i="9" s="1"/>
  <c r="I2" i="9" s="1"/>
  <c r="V7" i="9" s="1"/>
  <c r="AI7" i="9" s="1"/>
  <c r="AJ5" i="9"/>
  <c r="AL5" i="9" s="1"/>
  <c r="R8" i="8"/>
  <c r="E24" i="7"/>
  <c r="S3" i="7"/>
  <c r="R7" i="8"/>
  <c r="S7" i="8"/>
  <c r="R7" i="9"/>
  <c r="A10" i="6"/>
  <c r="B10" i="6" s="1"/>
  <c r="C10" i="6" s="1"/>
  <c r="D10" i="6" s="1"/>
  <c r="R6" i="2"/>
  <c r="R8" i="2" s="1"/>
  <c r="S7" i="9"/>
  <c r="P7" i="9"/>
  <c r="AH7" i="9" s="1"/>
  <c r="R5" i="9"/>
  <c r="E21" i="9"/>
  <c r="E19" i="9"/>
  <c r="T5" i="9"/>
  <c r="S5" i="9"/>
  <c r="A5" i="9"/>
  <c r="B5" i="9" s="1"/>
  <c r="C5" i="9" s="1"/>
  <c r="D5" i="9" s="1"/>
  <c r="A8" i="10"/>
  <c r="B8" i="10" s="1"/>
  <c r="C8" i="10" s="1"/>
  <c r="D8" i="10" s="1"/>
  <c r="E22" i="10"/>
  <c r="A5" i="10"/>
  <c r="B5" i="10" s="1"/>
  <c r="C5" i="10" s="1"/>
  <c r="D5" i="10" s="1"/>
  <c r="AJ2" i="10"/>
  <c r="AL2" i="10" s="1"/>
  <c r="R5" i="7"/>
  <c r="I102" i="2"/>
  <c r="C102" i="2"/>
  <c r="AJ9" i="8"/>
  <c r="AL9" i="8" s="1"/>
  <c r="P8" i="8"/>
  <c r="AH8" i="8" s="1"/>
  <c r="P5" i="10"/>
  <c r="AH5" i="10" s="1"/>
  <c r="R5" i="10"/>
  <c r="A2" i="10"/>
  <c r="B2" i="10" s="1"/>
  <c r="C2" i="10" s="1"/>
  <c r="D2" i="10" s="1"/>
  <c r="V2" i="10" s="1"/>
  <c r="T2" i="10"/>
  <c r="T9" i="8"/>
  <c r="S5" i="10"/>
  <c r="T5" i="10"/>
  <c r="R2" i="10"/>
  <c r="S9" i="8"/>
  <c r="E19" i="10"/>
  <c r="S2" i="10"/>
  <c r="E16" i="10"/>
  <c r="P8" i="6"/>
  <c r="S5" i="11"/>
  <c r="P2" i="7"/>
  <c r="AH2" i="7" s="1"/>
  <c r="S10" i="6"/>
  <c r="M22" i="8"/>
  <c r="K22" i="8" s="1"/>
  <c r="R5" i="8"/>
  <c r="T5" i="7"/>
  <c r="AJ10" i="9"/>
  <c r="AL10" i="9" s="1"/>
  <c r="R8" i="10"/>
  <c r="A7" i="11"/>
  <c r="B7" i="11" s="1"/>
  <c r="C7" i="11" s="1"/>
  <c r="I2" i="11" s="1"/>
  <c r="V7" i="11" s="1"/>
  <c r="AI7" i="11" s="1"/>
  <c r="A7" i="8"/>
  <c r="B7" i="8" s="1"/>
  <c r="C7" i="8" s="1"/>
  <c r="AJ3" i="10"/>
  <c r="AL3" i="10" s="1"/>
  <c r="F118" i="2"/>
  <c r="D118" i="2"/>
  <c r="R11" i="7"/>
  <c r="S8" i="10"/>
  <c r="AJ11" i="6"/>
  <c r="AL11" i="6" s="1"/>
  <c r="T8" i="10"/>
  <c r="S10" i="7"/>
  <c r="E25" i="7"/>
  <c r="AJ8" i="10"/>
  <c r="AL8" i="10" s="1"/>
  <c r="AJ10" i="7"/>
  <c r="AL10" i="7" s="1"/>
  <c r="B88" i="2"/>
  <c r="T11" i="6"/>
  <c r="S11" i="7"/>
  <c r="AJ11" i="7"/>
  <c r="AL11" i="7" s="1"/>
  <c r="A9" i="8"/>
  <c r="B9" i="8" s="1"/>
  <c r="C9" i="8" s="1"/>
  <c r="D9" i="8" s="1"/>
  <c r="A4" i="10"/>
  <c r="B4" i="10" s="1"/>
  <c r="C4" i="10" s="1"/>
  <c r="D4" i="10" s="1"/>
  <c r="A17" i="2"/>
  <c r="B17" i="2" s="1"/>
  <c r="T3" i="9"/>
  <c r="P3" i="9"/>
  <c r="AH3" i="9" s="1"/>
  <c r="E17" i="9"/>
  <c r="AJ3" i="9"/>
  <c r="AL3" i="9" s="1"/>
  <c r="R3" i="9"/>
  <c r="E17" i="11"/>
  <c r="A3" i="9"/>
  <c r="B3" i="9" s="1"/>
  <c r="C3" i="9" s="1"/>
  <c r="D3" i="9" s="1"/>
  <c r="T11" i="11"/>
  <c r="S11" i="11"/>
  <c r="E25" i="11"/>
  <c r="P11" i="11"/>
  <c r="AH11" i="11" s="1"/>
  <c r="AJ11" i="11"/>
  <c r="AL11" i="11" s="1"/>
  <c r="A11" i="8"/>
  <c r="B11" i="8" s="1"/>
  <c r="C11" i="8" s="1"/>
  <c r="M2" i="8" s="1"/>
  <c r="A11" i="11"/>
  <c r="B11" i="11" s="1"/>
  <c r="C11" i="11" s="1"/>
  <c r="D11" i="11" s="1"/>
  <c r="R11" i="8"/>
  <c r="T10" i="9"/>
  <c r="S8" i="9"/>
  <c r="E26" i="7"/>
  <c r="AJ2" i="6"/>
  <c r="AL2" i="6" s="1"/>
  <c r="T11" i="7"/>
  <c r="M21" i="9"/>
  <c r="K21" i="9" s="1"/>
  <c r="B82" i="2"/>
  <c r="R10" i="9"/>
  <c r="P10" i="9"/>
  <c r="AH10" i="9" s="1"/>
  <c r="S3" i="6"/>
  <c r="S11" i="8"/>
  <c r="S8" i="11"/>
  <c r="E24" i="9"/>
  <c r="M24" i="7"/>
  <c r="K24" i="7" s="1"/>
  <c r="B53" i="2"/>
  <c r="R9" i="8"/>
  <c r="W2" i="9"/>
  <c r="P4" i="6"/>
  <c r="R6" i="7"/>
  <c r="A6" i="7"/>
  <c r="B6" i="7" s="1"/>
  <c r="C6" i="7" s="1"/>
  <c r="H2" i="7" s="1"/>
  <c r="V6" i="7" s="1"/>
  <c r="AI6" i="7" s="1"/>
  <c r="T5" i="11"/>
  <c r="P3" i="11"/>
  <c r="AH3" i="11" s="1"/>
  <c r="P5" i="11"/>
  <c r="AH5" i="11" s="1"/>
  <c r="A3" i="11"/>
  <c r="B3" i="11" s="1"/>
  <c r="C3" i="11" s="1"/>
  <c r="D3" i="11" s="1"/>
  <c r="S6" i="7"/>
  <c r="O6" i="2"/>
  <c r="O10" i="2" s="1"/>
  <c r="AH6" i="6"/>
  <c r="M17" i="9"/>
  <c r="K17" i="9" s="1"/>
  <c r="B78" i="2"/>
  <c r="M20" i="8"/>
  <c r="K20" i="8" s="1"/>
  <c r="B65" i="2"/>
  <c r="M20" i="10"/>
  <c r="K20" i="10" s="1"/>
  <c r="B97" i="2"/>
  <c r="P8" i="9"/>
  <c r="AH8" i="9" s="1"/>
  <c r="A5" i="11"/>
  <c r="B5" i="11" s="1"/>
  <c r="C5" i="11" s="1"/>
  <c r="G2" i="11" s="1"/>
  <c r="V5" i="11" s="1"/>
  <c r="AI5" i="11" s="1"/>
  <c r="R5" i="11"/>
  <c r="R8" i="11"/>
  <c r="AJ4" i="6"/>
  <c r="AL4" i="6" s="1"/>
  <c r="M23" i="7"/>
  <c r="K23" i="7" s="1"/>
  <c r="B52" i="2"/>
  <c r="E22" i="11"/>
  <c r="R7" i="6"/>
  <c r="A7" i="7"/>
  <c r="B7" i="7" s="1"/>
  <c r="C7" i="7" s="1"/>
  <c r="I2" i="7" s="1"/>
  <c r="V7" i="7" s="1"/>
  <c r="AI7" i="7" s="1"/>
  <c r="M16" i="8"/>
  <c r="K16" i="8" s="1"/>
  <c r="B61" i="2"/>
  <c r="E27" i="11"/>
  <c r="P13" i="11"/>
  <c r="AH13" i="11" s="1"/>
  <c r="AJ7" i="7"/>
  <c r="AL7" i="7" s="1"/>
  <c r="P7" i="7"/>
  <c r="AH7" i="7" s="1"/>
  <c r="E16" i="11"/>
  <c r="AJ13" i="11"/>
  <c r="AL13" i="11" s="1"/>
  <c r="S13" i="11"/>
  <c r="A12" i="7"/>
  <c r="B12" i="7" s="1"/>
  <c r="C12" i="7" s="1"/>
  <c r="D12" i="7" s="1"/>
  <c r="R6" i="8"/>
  <c r="T7" i="7"/>
  <c r="R7" i="7"/>
  <c r="T2" i="9"/>
  <c r="S4" i="11"/>
  <c r="A9" i="7"/>
  <c r="B9" i="7" s="1"/>
  <c r="C9" i="7" s="1"/>
  <c r="D9" i="7" s="1"/>
  <c r="S10" i="11"/>
  <c r="A6" i="9"/>
  <c r="B6" i="9" s="1"/>
  <c r="C6" i="9" s="1"/>
  <c r="H2" i="9" s="1"/>
  <c r="V6" i="9" s="1"/>
  <c r="AI6" i="9" s="1"/>
  <c r="P10" i="11"/>
  <c r="AH10" i="11" s="1"/>
  <c r="T9" i="11"/>
  <c r="R9" i="11"/>
  <c r="A4" i="11"/>
  <c r="B4" i="11" s="1"/>
  <c r="C4" i="11" s="1"/>
  <c r="D4" i="11" s="1"/>
  <c r="R6" i="9"/>
  <c r="P6" i="9"/>
  <c r="AH6" i="9" s="1"/>
  <c r="T9" i="7"/>
  <c r="AJ9" i="7"/>
  <c r="AL9" i="7" s="1"/>
  <c r="P8" i="7"/>
  <c r="AH8" i="7" s="1"/>
  <c r="A12" i="6"/>
  <c r="B12" i="6" s="1"/>
  <c r="C12" i="6" s="1"/>
  <c r="N2" i="6" s="1"/>
  <c r="A9" i="11"/>
  <c r="B9" i="11" s="1"/>
  <c r="C9" i="11" s="1"/>
  <c r="D9" i="11" s="1"/>
  <c r="AJ9" i="11"/>
  <c r="AL9" i="11" s="1"/>
  <c r="P9" i="11"/>
  <c r="AH9" i="11" s="1"/>
  <c r="S12" i="11"/>
  <c r="T4" i="11"/>
  <c r="P4" i="9"/>
  <c r="AH4" i="9" s="1"/>
  <c r="R2" i="9"/>
  <c r="S2" i="9"/>
  <c r="AJ5" i="7"/>
  <c r="AL5" i="7" s="1"/>
  <c r="S8" i="7"/>
  <c r="S5" i="7"/>
  <c r="R11" i="6"/>
  <c r="T6" i="9"/>
  <c r="P7" i="11"/>
  <c r="AH7" i="11" s="1"/>
  <c r="P2" i="11"/>
  <c r="AH2" i="11" s="1"/>
  <c r="AJ12" i="11"/>
  <c r="AL12" i="11" s="1"/>
  <c r="R4" i="9"/>
  <c r="AJ2" i="9"/>
  <c r="AL2" i="9" s="1"/>
  <c r="AH10" i="6"/>
  <c r="A12" i="11"/>
  <c r="B12" i="11" s="1"/>
  <c r="C12" i="11" s="1"/>
  <c r="D12" i="11" s="1"/>
  <c r="AJ4" i="11"/>
  <c r="AL4" i="11" s="1"/>
  <c r="E21" i="11"/>
  <c r="E24" i="11"/>
  <c r="T12" i="11"/>
  <c r="S6" i="9"/>
  <c r="P2" i="9"/>
  <c r="AH2" i="9" s="1"/>
  <c r="P4" i="8"/>
  <c r="AH4" i="8" s="1"/>
  <c r="AJ10" i="11"/>
  <c r="AL10" i="11" s="1"/>
  <c r="P12" i="11"/>
  <c r="AH12" i="11" s="1"/>
  <c r="AJ6" i="9"/>
  <c r="AL6" i="9" s="1"/>
  <c r="E16" i="9"/>
  <c r="E20" i="7"/>
  <c r="P4" i="11"/>
  <c r="AH4" i="11" s="1"/>
  <c r="A6" i="11"/>
  <c r="B6" i="11" s="1"/>
  <c r="C6" i="11" s="1"/>
  <c r="D6" i="11" s="1"/>
  <c r="E20" i="11"/>
  <c r="T4" i="6"/>
  <c r="P6" i="11"/>
  <c r="AH6" i="11" s="1"/>
  <c r="D11" i="7"/>
  <c r="AK2" i="9"/>
  <c r="X2" i="9"/>
  <c r="Z2" i="9"/>
  <c r="H2" i="10"/>
  <c r="V6" i="10" s="1"/>
  <c r="R4" i="8"/>
  <c r="A4" i="9"/>
  <c r="B4" i="9" s="1"/>
  <c r="C4" i="9" s="1"/>
  <c r="F2" i="9" s="1"/>
  <c r="V4" i="9" s="1"/>
  <c r="AI4" i="9" s="1"/>
  <c r="E22" i="9"/>
  <c r="AJ8" i="11"/>
  <c r="AL8" i="11" s="1"/>
  <c r="T13" i="11"/>
  <c r="A13" i="11"/>
  <c r="B13" i="11" s="1"/>
  <c r="C13" i="11" s="1"/>
  <c r="O2" i="11" s="1"/>
  <c r="V13" i="11" s="1"/>
  <c r="AI13" i="11" s="1"/>
  <c r="P9" i="9"/>
  <c r="AH9" i="9" s="1"/>
  <c r="E18" i="11"/>
  <c r="S10" i="9"/>
  <c r="R8" i="9"/>
  <c r="A8" i="11"/>
  <c r="B8" i="11" s="1"/>
  <c r="C8" i="11" s="1"/>
  <c r="D8" i="11" s="1"/>
  <c r="S12" i="7"/>
  <c r="A8" i="9"/>
  <c r="B8" i="9" s="1"/>
  <c r="C8" i="9" s="1"/>
  <c r="J2" i="9" s="1"/>
  <c r="V8" i="9" s="1"/>
  <c r="AI8" i="9" s="1"/>
  <c r="T8" i="11"/>
  <c r="E27" i="7"/>
  <c r="P12" i="9"/>
  <c r="AH12" i="9" s="1"/>
  <c r="A10" i="11"/>
  <c r="B10" i="11" s="1"/>
  <c r="C10" i="11" s="1"/>
  <c r="L2" i="11" s="1"/>
  <c r="V10" i="11" s="1"/>
  <c r="AI10" i="11" s="1"/>
  <c r="R10" i="11"/>
  <c r="AJ8" i="9"/>
  <c r="AL8" i="9" s="1"/>
  <c r="E25" i="10"/>
  <c r="E18" i="9"/>
  <c r="E22" i="7"/>
  <c r="E21" i="7"/>
  <c r="E26" i="11"/>
  <c r="R12" i="6"/>
  <c r="S12" i="8"/>
  <c r="AJ12" i="7"/>
  <c r="AL12" i="7" s="1"/>
  <c r="S12" i="6"/>
  <c r="AJ12" i="6"/>
  <c r="AL12" i="6" s="1"/>
  <c r="T12" i="6"/>
  <c r="AH12" i="6"/>
  <c r="M20" i="9"/>
  <c r="K20" i="9" s="1"/>
  <c r="B81" i="2"/>
  <c r="T12" i="9"/>
  <c r="P6" i="8"/>
  <c r="AH6" i="8" s="1"/>
  <c r="T3" i="6"/>
  <c r="P3" i="6"/>
  <c r="A14" i="2"/>
  <c r="A3" i="6"/>
  <c r="B3" i="6" s="1"/>
  <c r="C3" i="6" s="1"/>
  <c r="L6" i="2"/>
  <c r="AJ3" i="6"/>
  <c r="AL3" i="6" s="1"/>
  <c r="AH3" i="6"/>
  <c r="E27" i="9"/>
  <c r="A13" i="9"/>
  <c r="B13" i="9" s="1"/>
  <c r="C13" i="9" s="1"/>
  <c r="T13" i="9"/>
  <c r="AJ13" i="9"/>
  <c r="AL13" i="9" s="1"/>
  <c r="S13" i="9"/>
  <c r="M20" i="11"/>
  <c r="K20" i="11" s="1"/>
  <c r="B113" i="2"/>
  <c r="M19" i="11"/>
  <c r="K19" i="11" s="1"/>
  <c r="B112" i="2"/>
  <c r="M22" i="10"/>
  <c r="K22" i="10" s="1"/>
  <c r="B99" i="2"/>
  <c r="AJ10" i="10"/>
  <c r="AL10" i="10" s="1"/>
  <c r="A10" i="10"/>
  <c r="B10" i="10" s="1"/>
  <c r="C10" i="10" s="1"/>
  <c r="T10" i="10"/>
  <c r="R10" i="10"/>
  <c r="P10" i="10"/>
  <c r="AH10" i="10" s="1"/>
  <c r="R13" i="9"/>
  <c r="E26" i="9"/>
  <c r="N22" i="6"/>
  <c r="M22" i="6"/>
  <c r="K22" i="6" s="1"/>
  <c r="B35" i="2"/>
  <c r="M16" i="11"/>
  <c r="K16" i="11" s="1"/>
  <c r="B109" i="2"/>
  <c r="B47" i="2"/>
  <c r="M18" i="7"/>
  <c r="K18" i="7" s="1"/>
  <c r="X2" i="7"/>
  <c r="Y2" i="7"/>
  <c r="R12" i="9"/>
  <c r="AJ6" i="8"/>
  <c r="AL6" i="8" s="1"/>
  <c r="S4" i="8"/>
  <c r="Z2" i="7"/>
  <c r="M23" i="10"/>
  <c r="K23" i="10" s="1"/>
  <c r="B100" i="2"/>
  <c r="M23" i="6"/>
  <c r="K23" i="6" s="1"/>
  <c r="B36" i="2"/>
  <c r="N23" i="6"/>
  <c r="T11" i="9"/>
  <c r="P11" i="9"/>
  <c r="AH11" i="9" s="1"/>
  <c r="S11" i="9"/>
  <c r="R11" i="9"/>
  <c r="E25" i="9"/>
  <c r="AJ11" i="9"/>
  <c r="AL11" i="9" s="1"/>
  <c r="M19" i="7"/>
  <c r="K19" i="7" s="1"/>
  <c r="B48" i="2"/>
  <c r="S12" i="9"/>
  <c r="A6" i="8"/>
  <c r="B6" i="8" s="1"/>
  <c r="C6" i="8" s="1"/>
  <c r="D6" i="8" s="1"/>
  <c r="AJ4" i="8"/>
  <c r="AL4" i="8" s="1"/>
  <c r="M24" i="9"/>
  <c r="K24" i="9" s="1"/>
  <c r="B85" i="2"/>
  <c r="AJ12" i="9"/>
  <c r="AL12" i="9" s="1"/>
  <c r="T6" i="8"/>
  <c r="A4" i="8"/>
  <c r="B4" i="8" s="1"/>
  <c r="C4" i="8" s="1"/>
  <c r="D4" i="8" s="1"/>
  <c r="AK2" i="7"/>
  <c r="M18" i="9"/>
  <c r="K18" i="9" s="1"/>
  <c r="B79" i="2"/>
  <c r="S6" i="8"/>
  <c r="P13" i="9"/>
  <c r="AH13" i="9" s="1"/>
  <c r="W2" i="7"/>
  <c r="AH13" i="6"/>
  <c r="T13" i="6"/>
  <c r="P13" i="6"/>
  <c r="S13" i="6"/>
  <c r="A24" i="2"/>
  <c r="V6" i="2"/>
  <c r="R13" i="6"/>
  <c r="AJ13" i="6"/>
  <c r="AL13" i="6" s="1"/>
  <c r="A13" i="6"/>
  <c r="B13" i="6" s="1"/>
  <c r="C13" i="6" s="1"/>
  <c r="E19" i="11"/>
  <c r="M23" i="9"/>
  <c r="K23" i="9" s="1"/>
  <c r="B84" i="2"/>
  <c r="AJ6" i="7"/>
  <c r="AL6" i="7" s="1"/>
  <c r="P6" i="7"/>
  <c r="AH6" i="7" s="1"/>
  <c r="M27" i="10"/>
  <c r="K27" i="10" s="1"/>
  <c r="B104" i="2"/>
  <c r="M25" i="8"/>
  <c r="K25" i="8" s="1"/>
  <c r="B70" i="2"/>
  <c r="E27" i="10"/>
  <c r="M25" i="9"/>
  <c r="K25" i="9" s="1"/>
  <c r="B86" i="2"/>
  <c r="B120" i="2"/>
  <c r="M27" i="11"/>
  <c r="K27" i="11" s="1"/>
  <c r="M18" i="10"/>
  <c r="K18" i="10" s="1"/>
  <c r="B95" i="2"/>
  <c r="R3" i="11"/>
  <c r="AJ3" i="11"/>
  <c r="AL3" i="11" s="1"/>
  <c r="S3" i="11"/>
  <c r="P10" i="6"/>
  <c r="S6" i="2"/>
  <c r="AJ10" i="6"/>
  <c r="AL10" i="6" s="1"/>
  <c r="R10" i="6"/>
  <c r="A21" i="2"/>
  <c r="N20" i="6"/>
  <c r="M20" i="6"/>
  <c r="K20" i="6" s="1"/>
  <c r="B33" i="2"/>
  <c r="A16" i="2"/>
  <c r="AH5" i="6"/>
  <c r="A5" i="6"/>
  <c r="B5" i="6" s="1"/>
  <c r="C5" i="6" s="1"/>
  <c r="R5" i="6"/>
  <c r="N6" i="2"/>
  <c r="T5" i="6"/>
  <c r="S5" i="6"/>
  <c r="P5" i="6"/>
  <c r="N18" i="6"/>
  <c r="B31" i="2"/>
  <c r="M18" i="6"/>
  <c r="K18" i="6" s="1"/>
  <c r="M19" i="9"/>
  <c r="K19" i="9" s="1"/>
  <c r="B80" i="2"/>
  <c r="M26" i="9"/>
  <c r="K26" i="9" s="1"/>
  <c r="B87" i="2"/>
  <c r="R10" i="8"/>
  <c r="P10" i="8"/>
  <c r="AH10" i="8" s="1"/>
  <c r="A10" i="8"/>
  <c r="B10" i="8" s="1"/>
  <c r="C10" i="8" s="1"/>
  <c r="T10" i="8"/>
  <c r="AJ10" i="8"/>
  <c r="AL10" i="8" s="1"/>
  <c r="S10" i="8"/>
  <c r="M24" i="11"/>
  <c r="K24" i="11" s="1"/>
  <c r="B117" i="2"/>
  <c r="M22" i="9"/>
  <c r="K22" i="9" s="1"/>
  <c r="B83" i="2"/>
  <c r="M23" i="8"/>
  <c r="K23" i="8" s="1"/>
  <c r="B68" i="2"/>
  <c r="M24" i="10"/>
  <c r="K24" i="10" s="1"/>
  <c r="B101" i="2"/>
  <c r="M23" i="11"/>
  <c r="K23" i="11" s="1"/>
  <c r="B116" i="2"/>
  <c r="E26" i="10"/>
  <c r="M26" i="7"/>
  <c r="K26" i="7" s="1"/>
  <c r="B55" i="2"/>
  <c r="P6" i="2"/>
  <c r="P7" i="6"/>
  <c r="A18" i="2"/>
  <c r="A7" i="6"/>
  <c r="B7" i="6" s="1"/>
  <c r="C7" i="6" s="1"/>
  <c r="AJ7" i="6"/>
  <c r="AL7" i="6" s="1"/>
  <c r="T7" i="6"/>
  <c r="S7" i="6"/>
  <c r="M27" i="6"/>
  <c r="K27" i="6" s="1"/>
  <c r="N27" i="6"/>
  <c r="B40" i="2"/>
  <c r="M21" i="6"/>
  <c r="K21" i="6" s="1"/>
  <c r="N21" i="6"/>
  <c r="B34" i="2"/>
  <c r="M26" i="6"/>
  <c r="K26" i="6" s="1"/>
  <c r="B39" i="2"/>
  <c r="N26" i="6"/>
  <c r="M21" i="11"/>
  <c r="K21" i="11" s="1"/>
  <c r="B114" i="2"/>
  <c r="AJ11" i="10"/>
  <c r="AL11" i="10" s="1"/>
  <c r="P11" i="10"/>
  <c r="AH11" i="10" s="1"/>
  <c r="A11" i="10"/>
  <c r="B11" i="10" s="1"/>
  <c r="C11" i="10" s="1"/>
  <c r="T11" i="10"/>
  <c r="R11" i="10"/>
  <c r="E23" i="9"/>
  <c r="A9" i="9"/>
  <c r="B9" i="9" s="1"/>
  <c r="C9" i="9" s="1"/>
  <c r="T9" i="9"/>
  <c r="S9" i="9"/>
  <c r="AJ9" i="9"/>
  <c r="AL9" i="9" s="1"/>
  <c r="M19" i="10"/>
  <c r="K19" i="10" s="1"/>
  <c r="B96" i="2"/>
  <c r="M25" i="7"/>
  <c r="K25" i="7" s="1"/>
  <c r="B54" i="2"/>
  <c r="AJ13" i="10"/>
  <c r="AL13" i="10" s="1"/>
  <c r="T13" i="10"/>
  <c r="R13" i="10"/>
  <c r="P13" i="10"/>
  <c r="AH13" i="10" s="1"/>
  <c r="A13" i="10"/>
  <c r="B13" i="10" s="1"/>
  <c r="C13" i="10" s="1"/>
  <c r="M27" i="7"/>
  <c r="K27" i="7" s="1"/>
  <c r="B56" i="2"/>
  <c r="P11" i="8"/>
  <c r="AH11" i="8" s="1"/>
  <c r="T11" i="8"/>
  <c r="M26" i="11"/>
  <c r="K26" i="11" s="1"/>
  <c r="B119" i="2"/>
  <c r="A9" i="10"/>
  <c r="B9" i="10" s="1"/>
  <c r="C9" i="10" s="1"/>
  <c r="AJ9" i="10"/>
  <c r="AL9" i="10" s="1"/>
  <c r="T9" i="10"/>
  <c r="S9" i="10"/>
  <c r="R9" i="10"/>
  <c r="P9" i="10"/>
  <c r="AH9" i="10" s="1"/>
  <c r="B77" i="2"/>
  <c r="M16" i="9"/>
  <c r="K16" i="9" s="1"/>
  <c r="AJ12" i="8"/>
  <c r="AL12" i="8" s="1"/>
  <c r="A12" i="8"/>
  <c r="B12" i="8" s="1"/>
  <c r="C12" i="8" s="1"/>
  <c r="T12" i="8"/>
  <c r="R12" i="8"/>
  <c r="P12" i="8"/>
  <c r="AH12" i="8" s="1"/>
  <c r="T13" i="7"/>
  <c r="AJ13" i="7"/>
  <c r="AL13" i="7" s="1"/>
  <c r="R13" i="7"/>
  <c r="P13" i="7"/>
  <c r="AH13" i="7" s="1"/>
  <c r="S13" i="7"/>
  <c r="R2" i="6"/>
  <c r="K6" i="2"/>
  <c r="AH2" i="6"/>
  <c r="A2" i="6"/>
  <c r="B2" i="6" s="1"/>
  <c r="C2" i="6" s="1"/>
  <c r="D2" i="6" s="1"/>
  <c r="P2" i="6"/>
  <c r="A13" i="2"/>
  <c r="S2" i="6"/>
  <c r="AH11" i="6"/>
  <c r="P11" i="6"/>
  <c r="A22" i="2"/>
  <c r="T6" i="2"/>
  <c r="S11" i="6"/>
  <c r="M19" i="6"/>
  <c r="K19" i="6" s="1"/>
  <c r="N19" i="6"/>
  <c r="B32" i="2"/>
  <c r="M17" i="11"/>
  <c r="K17" i="11" s="1"/>
  <c r="B110" i="2"/>
  <c r="AJ4" i="9"/>
  <c r="AL4" i="9" s="1"/>
  <c r="S4" i="9"/>
  <c r="M20" i="7"/>
  <c r="K20" i="7" s="1"/>
  <c r="B49" i="2"/>
  <c r="M16" i="10"/>
  <c r="K16" i="10" s="1"/>
  <c r="B93" i="2"/>
  <c r="T12" i="7"/>
  <c r="R12" i="7"/>
  <c r="M22" i="11"/>
  <c r="K22" i="11" s="1"/>
  <c r="B115" i="2"/>
  <c r="AJ7" i="10"/>
  <c r="AL7" i="10" s="1"/>
  <c r="A7" i="10"/>
  <c r="B7" i="10" s="1"/>
  <c r="C7" i="10" s="1"/>
  <c r="T7" i="10"/>
  <c r="R7" i="10"/>
  <c r="P7" i="10"/>
  <c r="AH7" i="10" s="1"/>
  <c r="AJ5" i="8"/>
  <c r="AL5" i="8" s="1"/>
  <c r="T5" i="8"/>
  <c r="S5" i="8"/>
  <c r="A5" i="8"/>
  <c r="B5" i="8" s="1"/>
  <c r="C5" i="8" s="1"/>
  <c r="M17" i="6"/>
  <c r="K17" i="6" s="1"/>
  <c r="B30" i="2"/>
  <c r="N17" i="6"/>
  <c r="AJ12" i="10"/>
  <c r="AL12" i="10" s="1"/>
  <c r="R12" i="10"/>
  <c r="P12" i="10"/>
  <c r="AH12" i="10" s="1"/>
  <c r="A12" i="10"/>
  <c r="B12" i="10" s="1"/>
  <c r="C12" i="10" s="1"/>
  <c r="T12" i="10"/>
  <c r="S12" i="10"/>
  <c r="M19" i="8"/>
  <c r="K19" i="8" s="1"/>
  <c r="B64" i="2"/>
  <c r="M17" i="7"/>
  <c r="K17" i="7" s="1"/>
  <c r="B46" i="2"/>
  <c r="M22" i="7"/>
  <c r="K22" i="7" s="1"/>
  <c r="B51" i="2"/>
  <c r="AJ8" i="7"/>
  <c r="AL8" i="7" s="1"/>
  <c r="R8" i="7"/>
  <c r="A8" i="7"/>
  <c r="B8" i="7" s="1"/>
  <c r="C8" i="7" s="1"/>
  <c r="E24" i="10"/>
  <c r="M26" i="10"/>
  <c r="K26" i="10" s="1"/>
  <c r="B103" i="2"/>
  <c r="M18" i="11"/>
  <c r="K18" i="11" s="1"/>
  <c r="B111" i="2"/>
  <c r="M26" i="8"/>
  <c r="K26" i="8" s="1"/>
  <c r="B71" i="2"/>
  <c r="A3" i="8"/>
  <c r="B3" i="8" s="1"/>
  <c r="C3" i="8" s="1"/>
  <c r="AJ3" i="8"/>
  <c r="AL3" i="8" s="1"/>
  <c r="S3" i="8"/>
  <c r="R3" i="8"/>
  <c r="P3" i="8"/>
  <c r="AH3" i="8" s="1"/>
  <c r="N25" i="6"/>
  <c r="M25" i="6"/>
  <c r="K25" i="6" s="1"/>
  <c r="B38" i="2"/>
  <c r="N24" i="6"/>
  <c r="M24" i="6"/>
  <c r="K24" i="6" s="1"/>
  <c r="B37" i="2"/>
  <c r="E23" i="10"/>
  <c r="AJ13" i="8"/>
  <c r="AL13" i="8" s="1"/>
  <c r="P13" i="8"/>
  <c r="AH13" i="8" s="1"/>
  <c r="A13" i="8"/>
  <c r="B13" i="8" s="1"/>
  <c r="C13" i="8" s="1"/>
  <c r="T13" i="8"/>
  <c r="R13" i="8"/>
  <c r="E23" i="7"/>
  <c r="S9" i="7"/>
  <c r="R9" i="7"/>
  <c r="R7" i="11"/>
  <c r="S7" i="11"/>
  <c r="AJ7" i="11"/>
  <c r="AL7" i="11" s="1"/>
  <c r="B62" i="2"/>
  <c r="M17" i="8"/>
  <c r="K17" i="8" s="1"/>
  <c r="T2" i="11"/>
  <c r="S2" i="11"/>
  <c r="A2" i="11"/>
  <c r="B2" i="11" s="1"/>
  <c r="C2" i="11" s="1"/>
  <c r="D2" i="11" s="1"/>
  <c r="V2" i="11" s="1"/>
  <c r="AI2" i="11" s="1"/>
  <c r="AJ2" i="11"/>
  <c r="AL2" i="11" s="1"/>
  <c r="M27" i="8"/>
  <c r="K27" i="8" s="1"/>
  <c r="B72" i="2"/>
  <c r="E23" i="11"/>
  <c r="E17" i="10"/>
  <c r="T3" i="10"/>
  <c r="R3" i="10"/>
  <c r="P3" i="10"/>
  <c r="AH3" i="10" s="1"/>
  <c r="A3" i="10"/>
  <c r="B3" i="10" s="1"/>
  <c r="C3" i="10" s="1"/>
  <c r="E19" i="7"/>
  <c r="P5" i="7"/>
  <c r="AH5" i="7" s="1"/>
  <c r="M21" i="10"/>
  <c r="K21" i="10" s="1"/>
  <c r="B98" i="2"/>
  <c r="E21" i="10"/>
  <c r="T6" i="11"/>
  <c r="AJ6" i="11"/>
  <c r="AL6" i="11" s="1"/>
  <c r="S6" i="11"/>
  <c r="B69" i="2"/>
  <c r="M24" i="8"/>
  <c r="K24" i="8" s="1"/>
  <c r="AJ2" i="8"/>
  <c r="AL2" i="8" s="1"/>
  <c r="A2" i="8"/>
  <c r="B2" i="8" s="1"/>
  <c r="C2" i="8" s="1"/>
  <c r="D2" i="8" s="1"/>
  <c r="V2" i="8" s="1"/>
  <c r="AI2" i="8" s="1"/>
  <c r="P2" i="8"/>
  <c r="AH2" i="8" s="1"/>
  <c r="T2" i="8"/>
  <c r="R2" i="8"/>
  <c r="A23" i="2"/>
  <c r="U6" i="2"/>
  <c r="AJ8" i="6"/>
  <c r="AL8" i="6" s="1"/>
  <c r="S8" i="6"/>
  <c r="R8" i="6"/>
  <c r="A8" i="6"/>
  <c r="B8" i="6" s="1"/>
  <c r="C8" i="6" s="1"/>
  <c r="A19" i="2"/>
  <c r="T8" i="6"/>
  <c r="Q6" i="2"/>
  <c r="AH4" i="6"/>
  <c r="A4" i="6"/>
  <c r="B4" i="6" s="1"/>
  <c r="C4" i="6" s="1"/>
  <c r="A15" i="2"/>
  <c r="R4" i="6"/>
  <c r="M6" i="2"/>
  <c r="N16" i="6"/>
  <c r="M16" i="6"/>
  <c r="K16" i="6" s="1"/>
  <c r="B29" i="2"/>
  <c r="AC4" i="7"/>
  <c r="AF4" i="7" s="1"/>
  <c r="G18" i="7" s="1"/>
  <c r="M2" i="9"/>
  <c r="V11" i="9" s="1"/>
  <c r="AI11" i="9" s="1"/>
  <c r="D11" i="9"/>
  <c r="N2" i="9"/>
  <c r="V12" i="9" s="1"/>
  <c r="AI12" i="9" s="1"/>
  <c r="D12" i="9"/>
  <c r="D5" i="7"/>
  <c r="G2" i="7"/>
  <c r="V5" i="7" s="1"/>
  <c r="AI5" i="7" s="1"/>
  <c r="E2" i="7"/>
  <c r="V3" i="7" s="1"/>
  <c r="AI3" i="7" s="1"/>
  <c r="D3" i="7"/>
  <c r="O2" i="7"/>
  <c r="V13" i="7" s="1"/>
  <c r="AI13" i="7" s="1"/>
  <c r="D13" i="7"/>
  <c r="D10" i="9"/>
  <c r="L2" i="9"/>
  <c r="V10" i="9" s="1"/>
  <c r="AI10" i="9" s="1"/>
  <c r="AB4" i="7"/>
  <c r="Z11" i="7"/>
  <c r="X11" i="7"/>
  <c r="AK11" i="7"/>
  <c r="Y11" i="7"/>
  <c r="W11" i="7"/>
  <c r="F2" i="7"/>
  <c r="V4" i="7" s="1"/>
  <c r="AI4" i="7" s="1"/>
  <c r="D4" i="7"/>
  <c r="L2" i="7"/>
  <c r="V10" i="7" s="1"/>
  <c r="AI10" i="7" s="1"/>
  <c r="D11" i="6"/>
  <c r="M2" i="6"/>
  <c r="D9" i="6" l="1"/>
  <c r="F50" i="2"/>
  <c r="F67" i="2"/>
  <c r="G67" i="2"/>
  <c r="E118" i="2"/>
  <c r="C118" i="2"/>
  <c r="P58" i="2"/>
  <c r="P61" i="2" s="1"/>
  <c r="H66" i="2"/>
  <c r="D66" i="2"/>
  <c r="Q58" i="2"/>
  <c r="Q61" i="2" s="1"/>
  <c r="F66" i="2"/>
  <c r="G66" i="2"/>
  <c r="F102" i="2"/>
  <c r="E50" i="2"/>
  <c r="C50" i="2"/>
  <c r="H50" i="2"/>
  <c r="P42" i="2"/>
  <c r="P45" i="2" s="1"/>
  <c r="X2" i="10"/>
  <c r="AI2" i="10"/>
  <c r="X6" i="10"/>
  <c r="AI6" i="10"/>
  <c r="D67" i="2"/>
  <c r="T106" i="2"/>
  <c r="T109" i="2" s="1"/>
  <c r="T90" i="2"/>
  <c r="T91" i="2" s="1"/>
  <c r="C63" i="2"/>
  <c r="H63" i="2"/>
  <c r="F63" i="2"/>
  <c r="G102" i="2"/>
  <c r="D63" i="2"/>
  <c r="M58" i="2"/>
  <c r="M61" i="2" s="1"/>
  <c r="H118" i="2"/>
  <c r="D102" i="2"/>
  <c r="G118" i="2"/>
  <c r="H67" i="2"/>
  <c r="E102" i="2"/>
  <c r="E66" i="2"/>
  <c r="H88" i="2"/>
  <c r="G94" i="2"/>
  <c r="C66" i="2"/>
  <c r="D45" i="2"/>
  <c r="I67" i="2"/>
  <c r="E67" i="2"/>
  <c r="G63" i="2"/>
  <c r="I63" i="2"/>
  <c r="I50" i="2"/>
  <c r="D50" i="2"/>
  <c r="AB9" i="6"/>
  <c r="AB3" i="7"/>
  <c r="AB6" i="10"/>
  <c r="AB10" i="7"/>
  <c r="AC6" i="10"/>
  <c r="AF6" i="10" s="1"/>
  <c r="G20" i="10" s="1"/>
  <c r="J2" i="8"/>
  <c r="V8" i="8" s="1"/>
  <c r="AI8" i="8" s="1"/>
  <c r="E20" i="2"/>
  <c r="C20" i="2"/>
  <c r="I20" i="2"/>
  <c r="G20" i="2"/>
  <c r="F20" i="2"/>
  <c r="D20" i="2"/>
  <c r="H20" i="2"/>
  <c r="H2" i="6"/>
  <c r="V6" i="6" s="1"/>
  <c r="AI6" i="6" s="1"/>
  <c r="J2" i="10"/>
  <c r="V8" i="10" s="1"/>
  <c r="AC9" i="6"/>
  <c r="AB6" i="6"/>
  <c r="AC6" i="6"/>
  <c r="AC4" i="10"/>
  <c r="AF4" i="10" s="1"/>
  <c r="G18" i="10" s="1"/>
  <c r="L2" i="6"/>
  <c r="V10" i="6" s="1"/>
  <c r="AI10" i="6" s="1"/>
  <c r="AB8" i="8"/>
  <c r="D7" i="9"/>
  <c r="D11" i="8"/>
  <c r="AC8" i="8"/>
  <c r="AF8" i="8" s="1"/>
  <c r="G22" i="8" s="1"/>
  <c r="AB2" i="7"/>
  <c r="AB7" i="8"/>
  <c r="AC2" i="7"/>
  <c r="AF2" i="7" s="1"/>
  <c r="G16" i="7" s="1"/>
  <c r="AB4" i="10"/>
  <c r="AC3" i="7"/>
  <c r="AF3" i="7" s="1"/>
  <c r="G17" i="7" s="1"/>
  <c r="AC7" i="8"/>
  <c r="AF7" i="8" s="1"/>
  <c r="G21" i="8" s="1"/>
  <c r="R9" i="2"/>
  <c r="AC7" i="9"/>
  <c r="AF7" i="9" s="1"/>
  <c r="G21" i="9" s="1"/>
  <c r="AB2" i="10"/>
  <c r="AB7" i="9"/>
  <c r="R10" i="2"/>
  <c r="AL6" i="2"/>
  <c r="R7" i="2" s="1"/>
  <c r="G2" i="9"/>
  <c r="V5" i="9" s="1"/>
  <c r="AC5" i="9"/>
  <c r="AF5" i="9" s="1"/>
  <c r="G19" i="9" s="1"/>
  <c r="AB5" i="9"/>
  <c r="AC10" i="7"/>
  <c r="AF10" i="7" s="1"/>
  <c r="G24" i="7" s="1"/>
  <c r="G2" i="10"/>
  <c r="V5" i="10" s="1"/>
  <c r="K2" i="8"/>
  <c r="K3" i="8" s="1"/>
  <c r="AD2" i="9"/>
  <c r="M2" i="11"/>
  <c r="V11" i="11" s="1"/>
  <c r="W2" i="10"/>
  <c r="Z2" i="10"/>
  <c r="Y2" i="10"/>
  <c r="AK2" i="10"/>
  <c r="AC9" i="8"/>
  <c r="AF9" i="8" s="1"/>
  <c r="G23" i="8" s="1"/>
  <c r="AC2" i="10"/>
  <c r="AF2" i="10" s="1"/>
  <c r="G16" i="10" s="1"/>
  <c r="AB9" i="8"/>
  <c r="AB5" i="10"/>
  <c r="AC10" i="6"/>
  <c r="O9" i="2"/>
  <c r="D12" i="6"/>
  <c r="K2" i="7"/>
  <c r="V9" i="7" s="1"/>
  <c r="AC5" i="10"/>
  <c r="AF5" i="10" s="1"/>
  <c r="G19" i="10" s="1"/>
  <c r="H17" i="2"/>
  <c r="E17" i="2"/>
  <c r="D5" i="11"/>
  <c r="D7" i="7"/>
  <c r="AB10" i="6"/>
  <c r="F2" i="11"/>
  <c r="V4" i="11" s="1"/>
  <c r="AI4" i="11" s="1"/>
  <c r="Q59" i="2"/>
  <c r="AB10" i="10"/>
  <c r="AC5" i="7"/>
  <c r="AF5" i="7" s="1"/>
  <c r="G19" i="7" s="1"/>
  <c r="AB8" i="11"/>
  <c r="D6" i="7"/>
  <c r="D6" i="9"/>
  <c r="AB8" i="10"/>
  <c r="AC8" i="10"/>
  <c r="AF8" i="10" s="1"/>
  <c r="G22" i="10" s="1"/>
  <c r="AC11" i="10"/>
  <c r="AF11" i="10" s="1"/>
  <c r="G25" i="10" s="1"/>
  <c r="AC3" i="9"/>
  <c r="AF3" i="9" s="1"/>
  <c r="G17" i="9" s="1"/>
  <c r="AB10" i="9"/>
  <c r="AC11" i="11"/>
  <c r="AF11" i="11" s="1"/>
  <c r="G25" i="11" s="1"/>
  <c r="AC11" i="7"/>
  <c r="AF11" i="7" s="1"/>
  <c r="G25" i="7" s="1"/>
  <c r="AB7" i="7"/>
  <c r="D7" i="11"/>
  <c r="F2" i="10"/>
  <c r="V4" i="10" s="1"/>
  <c r="AB11" i="6"/>
  <c r="E2" i="9"/>
  <c r="V3" i="9" s="1"/>
  <c r="AB11" i="8"/>
  <c r="AB11" i="7"/>
  <c r="AB11" i="11"/>
  <c r="I2" i="8"/>
  <c r="D7" i="8"/>
  <c r="E2" i="11"/>
  <c r="V3" i="11" s="1"/>
  <c r="Z6" i="10"/>
  <c r="AB12" i="9"/>
  <c r="D8" i="9"/>
  <c r="F88" i="2"/>
  <c r="G88" i="2"/>
  <c r="D88" i="2"/>
  <c r="I88" i="2"/>
  <c r="C88" i="2"/>
  <c r="AC6" i="7"/>
  <c r="AF6" i="7" s="1"/>
  <c r="G20" i="7" s="1"/>
  <c r="AB3" i="9"/>
  <c r="AB9" i="11"/>
  <c r="AB5" i="11"/>
  <c r="AC5" i="11"/>
  <c r="AF5" i="11" s="1"/>
  <c r="G19" i="11" s="1"/>
  <c r="AB3" i="6"/>
  <c r="AC7" i="7"/>
  <c r="AF7" i="7" s="1"/>
  <c r="G21" i="7" s="1"/>
  <c r="AC8" i="9"/>
  <c r="AF8" i="9" s="1"/>
  <c r="G22" i="9" s="1"/>
  <c r="AB6" i="7"/>
  <c r="AC9" i="11"/>
  <c r="AF9" i="11" s="1"/>
  <c r="G23" i="11" s="1"/>
  <c r="H2" i="8"/>
  <c r="V6" i="8" s="1"/>
  <c r="AI6" i="8" s="1"/>
  <c r="I17" i="2"/>
  <c r="C17" i="2"/>
  <c r="D17" i="2"/>
  <c r="F17" i="2"/>
  <c r="G17" i="2"/>
  <c r="D4" i="9"/>
  <c r="Q60" i="2"/>
  <c r="N2" i="7"/>
  <c r="V12" i="7" s="1"/>
  <c r="N2" i="11"/>
  <c r="V12" i="11" s="1"/>
  <c r="P74" i="2"/>
  <c r="E82" i="2"/>
  <c r="H82" i="2"/>
  <c r="I82" i="2"/>
  <c r="D82" i="2"/>
  <c r="G82" i="2"/>
  <c r="C82" i="2"/>
  <c r="F82" i="2"/>
  <c r="AC8" i="11"/>
  <c r="AF8" i="11" s="1"/>
  <c r="G22" i="11" s="1"/>
  <c r="G53" i="2"/>
  <c r="D53" i="2"/>
  <c r="S42" i="2"/>
  <c r="E53" i="2"/>
  <c r="H53" i="2"/>
  <c r="C53" i="2"/>
  <c r="I53" i="2"/>
  <c r="F53" i="2"/>
  <c r="AB4" i="11"/>
  <c r="AB7" i="6"/>
  <c r="AB2" i="9"/>
  <c r="AB3" i="11"/>
  <c r="AB8" i="9"/>
  <c r="K2" i="11"/>
  <c r="V9" i="11" s="1"/>
  <c r="AB2" i="11"/>
  <c r="O8" i="2"/>
  <c r="AC2" i="9"/>
  <c r="AF2" i="9" s="1"/>
  <c r="G16" i="9" s="1"/>
  <c r="AI6" i="2"/>
  <c r="O7" i="2" s="1"/>
  <c r="F2" i="8"/>
  <c r="F3" i="8" s="1"/>
  <c r="AC4" i="11"/>
  <c r="AF4" i="11" s="1"/>
  <c r="G18" i="11" s="1"/>
  <c r="H2" i="11"/>
  <c r="V6" i="11" s="1"/>
  <c r="AC2" i="8"/>
  <c r="AF2" i="8" s="1"/>
  <c r="G16" i="8" s="1"/>
  <c r="AB9" i="7"/>
  <c r="J2" i="11"/>
  <c r="V8" i="11" s="1"/>
  <c r="AB13" i="11"/>
  <c r="R42" i="2"/>
  <c r="H52" i="2"/>
  <c r="G52" i="2"/>
  <c r="E52" i="2"/>
  <c r="D52" i="2"/>
  <c r="F52" i="2"/>
  <c r="C52" i="2"/>
  <c r="I52" i="2"/>
  <c r="E97" i="2"/>
  <c r="F97" i="2"/>
  <c r="I97" i="2"/>
  <c r="O90" i="2"/>
  <c r="H97" i="2"/>
  <c r="D97" i="2"/>
  <c r="C97" i="2"/>
  <c r="G97" i="2"/>
  <c r="AC10" i="11"/>
  <c r="AF10" i="11" s="1"/>
  <c r="G24" i="11" s="1"/>
  <c r="K58" i="2"/>
  <c r="D61" i="2"/>
  <c r="I61" i="2"/>
  <c r="G61" i="2"/>
  <c r="E61" i="2"/>
  <c r="H61" i="2"/>
  <c r="F61" i="2"/>
  <c r="C61" i="2"/>
  <c r="I65" i="2"/>
  <c r="F65" i="2"/>
  <c r="D65" i="2"/>
  <c r="C65" i="2"/>
  <c r="E65" i="2"/>
  <c r="H65" i="2"/>
  <c r="O58" i="2"/>
  <c r="G65" i="2"/>
  <c r="AC7" i="10"/>
  <c r="AF7" i="10" s="1"/>
  <c r="G21" i="10" s="1"/>
  <c r="C78" i="2"/>
  <c r="F78" i="2"/>
  <c r="E78" i="2"/>
  <c r="I78" i="2"/>
  <c r="D78" i="2"/>
  <c r="H78" i="2"/>
  <c r="G78" i="2"/>
  <c r="L74" i="2"/>
  <c r="AC10" i="9"/>
  <c r="AF10" i="9" s="1"/>
  <c r="G24" i="9" s="1"/>
  <c r="AB9" i="9"/>
  <c r="D10" i="11"/>
  <c r="AB7" i="10"/>
  <c r="AC10" i="10"/>
  <c r="AF10" i="10" s="1"/>
  <c r="G24" i="10" s="1"/>
  <c r="AB4" i="6"/>
  <c r="AC4" i="9"/>
  <c r="AF4" i="9" s="1"/>
  <c r="G18" i="9" s="1"/>
  <c r="AC9" i="7"/>
  <c r="AF9" i="7" s="1"/>
  <c r="G23" i="7" s="1"/>
  <c r="AC3" i="8"/>
  <c r="AF3" i="8" s="1"/>
  <c r="G17" i="8" s="1"/>
  <c r="AC12" i="11"/>
  <c r="AF12" i="11" s="1"/>
  <c r="G26" i="11" s="1"/>
  <c r="AB3" i="8"/>
  <c r="AC3" i="11"/>
  <c r="AF3" i="11" s="1"/>
  <c r="G17" i="11" s="1"/>
  <c r="AC6" i="9"/>
  <c r="AF6" i="9" s="1"/>
  <c r="G20" i="9" s="1"/>
  <c r="AB8" i="7"/>
  <c r="AB4" i="9"/>
  <c r="AB5" i="7"/>
  <c r="AC4" i="6"/>
  <c r="AB11" i="9"/>
  <c r="AB6" i="9"/>
  <c r="AB10" i="11"/>
  <c r="AC13" i="11"/>
  <c r="AF13" i="11" s="1"/>
  <c r="G27" i="11" s="1"/>
  <c r="D13" i="11"/>
  <c r="AC4" i="8"/>
  <c r="AF4" i="8" s="1"/>
  <c r="G18" i="8" s="1"/>
  <c r="AA2" i="9"/>
  <c r="AC11" i="8"/>
  <c r="AF11" i="8" s="1"/>
  <c r="G25" i="8" s="1"/>
  <c r="AC8" i="7"/>
  <c r="AF8" i="7" s="1"/>
  <c r="G22" i="7" s="1"/>
  <c r="AC2" i="6"/>
  <c r="AF2" i="6" s="1"/>
  <c r="AB12" i="11"/>
  <c r="AB7" i="11"/>
  <c r="AB13" i="9"/>
  <c r="Y6" i="10"/>
  <c r="AC6" i="11"/>
  <c r="AF6" i="11" s="1"/>
  <c r="G20" i="11" s="1"/>
  <c r="AB6" i="8"/>
  <c r="AB13" i="8"/>
  <c r="AK6" i="10"/>
  <c r="W6" i="10"/>
  <c r="AB12" i="7"/>
  <c r="AB12" i="8"/>
  <c r="AB11" i="10"/>
  <c r="AA2" i="7"/>
  <c r="AD2" i="7"/>
  <c r="AG2" i="7" s="1"/>
  <c r="L16" i="7" s="1"/>
  <c r="AC6" i="8"/>
  <c r="AF6" i="8" s="1"/>
  <c r="G20" i="8" s="1"/>
  <c r="AC7" i="11"/>
  <c r="AF7" i="11" s="1"/>
  <c r="G21" i="11" s="1"/>
  <c r="AC5" i="8"/>
  <c r="AF5" i="8" s="1"/>
  <c r="G19" i="8" s="1"/>
  <c r="AB13" i="10"/>
  <c r="AC13" i="7"/>
  <c r="AF13" i="7" s="1"/>
  <c r="G27" i="7" s="1"/>
  <c r="AC3" i="6"/>
  <c r="AB2" i="8"/>
  <c r="AB4" i="8"/>
  <c r="AC13" i="8"/>
  <c r="AF13" i="8" s="1"/>
  <c r="G27" i="8" s="1"/>
  <c r="AB12" i="10"/>
  <c r="AC9" i="9"/>
  <c r="AF9" i="9" s="1"/>
  <c r="G23" i="9" s="1"/>
  <c r="AB5" i="8"/>
  <c r="AC11" i="6"/>
  <c r="AB6" i="11"/>
  <c r="AC2" i="11"/>
  <c r="AF2" i="11" s="1"/>
  <c r="G16" i="11" s="1"/>
  <c r="AC12" i="10"/>
  <c r="AF12" i="10" s="1"/>
  <c r="G26" i="10" s="1"/>
  <c r="AC9" i="10"/>
  <c r="AF9" i="10" s="1"/>
  <c r="G23" i="10" s="1"/>
  <c r="AC5" i="6"/>
  <c r="AC12" i="6"/>
  <c r="AC13" i="10"/>
  <c r="AF13" i="10" s="1"/>
  <c r="G27" i="10" s="1"/>
  <c r="AB2" i="6"/>
  <c r="AC8" i="6"/>
  <c r="AC3" i="10"/>
  <c r="AF3" i="10" s="1"/>
  <c r="G17" i="10" s="1"/>
  <c r="AB9" i="10"/>
  <c r="AC7" i="6"/>
  <c r="AC13" i="6"/>
  <c r="AC13" i="9"/>
  <c r="AF13" i="9" s="1"/>
  <c r="G27" i="9" s="1"/>
  <c r="AB8" i="6"/>
  <c r="AC12" i="7"/>
  <c r="AF12" i="7" s="1"/>
  <c r="G26" i="7" s="1"/>
  <c r="AC12" i="8"/>
  <c r="AF12" i="8" s="1"/>
  <c r="G26" i="8" s="1"/>
  <c r="AB12" i="6"/>
  <c r="I19" i="2"/>
  <c r="D19" i="2"/>
  <c r="F19" i="2"/>
  <c r="E19" i="2"/>
  <c r="H19" i="2"/>
  <c r="G19" i="2"/>
  <c r="C19" i="2"/>
  <c r="B19" i="2"/>
  <c r="Z2" i="11"/>
  <c r="Y2" i="11"/>
  <c r="X2" i="11"/>
  <c r="AK2" i="11"/>
  <c r="W2" i="11"/>
  <c r="I115" i="2"/>
  <c r="E115" i="2"/>
  <c r="Q106" i="2"/>
  <c r="H115" i="2"/>
  <c r="C115" i="2"/>
  <c r="F115" i="2"/>
  <c r="D115" i="2"/>
  <c r="G115" i="2"/>
  <c r="I77" i="2"/>
  <c r="C77" i="2"/>
  <c r="D77" i="2"/>
  <c r="G77" i="2"/>
  <c r="F77" i="2"/>
  <c r="K74" i="2"/>
  <c r="E77" i="2"/>
  <c r="H77" i="2"/>
  <c r="I114" i="2"/>
  <c r="P106" i="2"/>
  <c r="H114" i="2"/>
  <c r="D114" i="2"/>
  <c r="C114" i="2"/>
  <c r="F114" i="2"/>
  <c r="G114" i="2"/>
  <c r="E114" i="2"/>
  <c r="I40" i="2"/>
  <c r="H40" i="2"/>
  <c r="V26" i="2"/>
  <c r="G40" i="2"/>
  <c r="E40" i="2"/>
  <c r="F40" i="2"/>
  <c r="D40" i="2"/>
  <c r="C40" i="2"/>
  <c r="C101" i="2"/>
  <c r="D101" i="2"/>
  <c r="G101" i="2"/>
  <c r="H101" i="2"/>
  <c r="E101" i="2"/>
  <c r="F101" i="2"/>
  <c r="I101" i="2"/>
  <c r="S90" i="2"/>
  <c r="AB10" i="8"/>
  <c r="F80" i="2"/>
  <c r="D80" i="2"/>
  <c r="N74" i="2"/>
  <c r="G80" i="2"/>
  <c r="I80" i="2"/>
  <c r="E80" i="2"/>
  <c r="C80" i="2"/>
  <c r="H80" i="2"/>
  <c r="I84" i="2"/>
  <c r="D84" i="2"/>
  <c r="R74" i="2"/>
  <c r="G84" i="2"/>
  <c r="E84" i="2"/>
  <c r="C84" i="2"/>
  <c r="H84" i="2"/>
  <c r="F84" i="2"/>
  <c r="I24" i="2"/>
  <c r="B24" i="2"/>
  <c r="F24" i="2"/>
  <c r="H24" i="2"/>
  <c r="D24" i="2"/>
  <c r="G24" i="2"/>
  <c r="E24" i="2"/>
  <c r="C24" i="2"/>
  <c r="C85" i="2"/>
  <c r="F85" i="2"/>
  <c r="G85" i="2"/>
  <c r="I85" i="2"/>
  <c r="S74" i="2"/>
  <c r="D85" i="2"/>
  <c r="E85" i="2"/>
  <c r="H85" i="2"/>
  <c r="E14" i="2"/>
  <c r="B14" i="2"/>
  <c r="D14" i="2"/>
  <c r="F14" i="2"/>
  <c r="G14" i="2"/>
  <c r="C14" i="2"/>
  <c r="H14" i="2"/>
  <c r="I14" i="2"/>
  <c r="M10" i="2"/>
  <c r="M8" i="2"/>
  <c r="M9" i="2"/>
  <c r="AG6" i="2"/>
  <c r="M7" i="2" s="1"/>
  <c r="D8" i="6"/>
  <c r="J2" i="6"/>
  <c r="S26" i="2"/>
  <c r="F37" i="2"/>
  <c r="H37" i="2"/>
  <c r="D37" i="2"/>
  <c r="C37" i="2"/>
  <c r="I37" i="2"/>
  <c r="G37" i="2"/>
  <c r="E37" i="2"/>
  <c r="D103" i="2"/>
  <c r="F103" i="2"/>
  <c r="I103" i="2"/>
  <c r="E103" i="2"/>
  <c r="G103" i="2"/>
  <c r="H103" i="2"/>
  <c r="C103" i="2"/>
  <c r="U90" i="2"/>
  <c r="L42" i="2"/>
  <c r="E46" i="2"/>
  <c r="H46" i="2"/>
  <c r="C46" i="2"/>
  <c r="D46" i="2"/>
  <c r="F46" i="2"/>
  <c r="I46" i="2"/>
  <c r="G46" i="2"/>
  <c r="T10" i="2"/>
  <c r="T9" i="2"/>
  <c r="T8" i="2"/>
  <c r="AN6" i="2"/>
  <c r="T7" i="2" s="1"/>
  <c r="V2" i="6"/>
  <c r="L11" i="2"/>
  <c r="K2" i="9"/>
  <c r="V9" i="9" s="1"/>
  <c r="AI9" i="9" s="1"/>
  <c r="D9" i="9"/>
  <c r="P10" i="2"/>
  <c r="P8" i="2"/>
  <c r="P9" i="2"/>
  <c r="AJ6" i="2"/>
  <c r="P7" i="2" s="1"/>
  <c r="N10" i="2"/>
  <c r="N8" i="2"/>
  <c r="N9" i="2"/>
  <c r="AH6" i="2"/>
  <c r="N7" i="2" s="1"/>
  <c r="AB13" i="6"/>
  <c r="I79" i="2"/>
  <c r="F79" i="2"/>
  <c r="G79" i="2"/>
  <c r="H79" i="2"/>
  <c r="E79" i="2"/>
  <c r="D79" i="2"/>
  <c r="M74" i="2"/>
  <c r="C79" i="2"/>
  <c r="AC11" i="9"/>
  <c r="AF11" i="9" s="1"/>
  <c r="G25" i="9" s="1"/>
  <c r="D100" i="2"/>
  <c r="I100" i="2"/>
  <c r="H100" i="2"/>
  <c r="F100" i="2"/>
  <c r="C100" i="2"/>
  <c r="E100" i="2"/>
  <c r="R90" i="2"/>
  <c r="G100" i="2"/>
  <c r="Q26" i="2"/>
  <c r="C35" i="2"/>
  <c r="E35" i="2"/>
  <c r="D35" i="2"/>
  <c r="F35" i="2"/>
  <c r="I35" i="2"/>
  <c r="G35" i="2"/>
  <c r="H35" i="2"/>
  <c r="C99" i="2"/>
  <c r="I99" i="2"/>
  <c r="H99" i="2"/>
  <c r="F99" i="2"/>
  <c r="Q90" i="2"/>
  <c r="G99" i="2"/>
  <c r="E99" i="2"/>
  <c r="D99" i="2"/>
  <c r="I21" i="2"/>
  <c r="B21" i="2"/>
  <c r="D21" i="2"/>
  <c r="C21" i="2"/>
  <c r="F21" i="2"/>
  <c r="G21" i="2"/>
  <c r="E21" i="2"/>
  <c r="H21" i="2"/>
  <c r="T58" i="2"/>
  <c r="C70" i="2"/>
  <c r="I70" i="2"/>
  <c r="F70" i="2"/>
  <c r="G70" i="2"/>
  <c r="D70" i="2"/>
  <c r="E70" i="2"/>
  <c r="H70" i="2"/>
  <c r="AB3" i="10"/>
  <c r="O2" i="9"/>
  <c r="V13" i="9" s="1"/>
  <c r="AI13" i="9" s="1"/>
  <c r="D13" i="9"/>
  <c r="Y2" i="8"/>
  <c r="W2" i="8"/>
  <c r="X2" i="8"/>
  <c r="AK2" i="8"/>
  <c r="Z2" i="8"/>
  <c r="K9" i="2"/>
  <c r="AE6" i="2"/>
  <c r="K7" i="2" s="1"/>
  <c r="C7" i="2"/>
  <c r="K8" i="2"/>
  <c r="K10" i="2"/>
  <c r="F9" i="2"/>
  <c r="D7" i="2"/>
  <c r="C3" i="2"/>
  <c r="C9" i="2"/>
  <c r="D9" i="2"/>
  <c r="I95" i="2"/>
  <c r="E95" i="2"/>
  <c r="M90" i="2"/>
  <c r="C95" i="2"/>
  <c r="D95" i="2"/>
  <c r="F95" i="2"/>
  <c r="H95" i="2"/>
  <c r="G95" i="2"/>
  <c r="E47" i="2"/>
  <c r="M42" i="2"/>
  <c r="H47" i="2"/>
  <c r="I47" i="2"/>
  <c r="C47" i="2"/>
  <c r="D47" i="2"/>
  <c r="F47" i="2"/>
  <c r="G47" i="2"/>
  <c r="F112" i="2"/>
  <c r="D112" i="2"/>
  <c r="C112" i="2"/>
  <c r="N106" i="2"/>
  <c r="H112" i="2"/>
  <c r="G112" i="2"/>
  <c r="E112" i="2"/>
  <c r="I112" i="2"/>
  <c r="B22" i="2"/>
  <c r="D22" i="2"/>
  <c r="C22" i="2"/>
  <c r="E22" i="2"/>
  <c r="H22" i="2"/>
  <c r="F22" i="2"/>
  <c r="G22" i="2"/>
  <c r="I22" i="2"/>
  <c r="C68" i="2"/>
  <c r="F68" i="2"/>
  <c r="G68" i="2"/>
  <c r="H68" i="2"/>
  <c r="I68" i="2"/>
  <c r="E68" i="2"/>
  <c r="D68" i="2"/>
  <c r="R58" i="2"/>
  <c r="D64" i="2"/>
  <c r="I64" i="2"/>
  <c r="H64" i="2"/>
  <c r="E64" i="2"/>
  <c r="N58" i="2"/>
  <c r="F64" i="2"/>
  <c r="C64" i="2"/>
  <c r="G64" i="2"/>
  <c r="H56" i="2"/>
  <c r="E56" i="2"/>
  <c r="V42" i="2"/>
  <c r="I56" i="2"/>
  <c r="C56" i="2"/>
  <c r="F56" i="2"/>
  <c r="D56" i="2"/>
  <c r="G56" i="2"/>
  <c r="I31" i="2"/>
  <c r="H31" i="2"/>
  <c r="M26" i="2"/>
  <c r="E31" i="2"/>
  <c r="D31" i="2"/>
  <c r="G31" i="2"/>
  <c r="F31" i="2"/>
  <c r="C31" i="2"/>
  <c r="D4" i="6"/>
  <c r="F2" i="6"/>
  <c r="L58" i="2"/>
  <c r="H62" i="2"/>
  <c r="G62" i="2"/>
  <c r="C62" i="2"/>
  <c r="D62" i="2"/>
  <c r="E62" i="2"/>
  <c r="I62" i="2"/>
  <c r="F62" i="2"/>
  <c r="H38" i="2"/>
  <c r="I38" i="2"/>
  <c r="G38" i="2"/>
  <c r="E38" i="2"/>
  <c r="D38" i="2"/>
  <c r="F38" i="2"/>
  <c r="C38" i="2"/>
  <c r="T26" i="2"/>
  <c r="D8" i="7"/>
  <c r="J2" i="7"/>
  <c r="V8" i="7" s="1"/>
  <c r="AI8" i="7" s="1"/>
  <c r="I30" i="2"/>
  <c r="H30" i="2"/>
  <c r="D30" i="2"/>
  <c r="G30" i="2"/>
  <c r="L26" i="2"/>
  <c r="C30" i="2"/>
  <c r="F30" i="2"/>
  <c r="E30" i="2"/>
  <c r="I93" i="2"/>
  <c r="K90" i="2"/>
  <c r="D93" i="2"/>
  <c r="C93" i="2"/>
  <c r="F93" i="2"/>
  <c r="H93" i="2"/>
  <c r="E93" i="2"/>
  <c r="G93" i="2"/>
  <c r="N90" i="2"/>
  <c r="E96" i="2"/>
  <c r="D96" i="2"/>
  <c r="G96" i="2"/>
  <c r="F96" i="2"/>
  <c r="C96" i="2"/>
  <c r="H96" i="2"/>
  <c r="I96" i="2"/>
  <c r="Q74" i="2"/>
  <c r="F83" i="2"/>
  <c r="C83" i="2"/>
  <c r="D83" i="2"/>
  <c r="H83" i="2"/>
  <c r="I83" i="2"/>
  <c r="G83" i="2"/>
  <c r="E83" i="2"/>
  <c r="F104" i="2"/>
  <c r="H104" i="2"/>
  <c r="G104" i="2"/>
  <c r="D104" i="2"/>
  <c r="C104" i="2"/>
  <c r="I104" i="2"/>
  <c r="E104" i="2"/>
  <c r="V90" i="2"/>
  <c r="D13" i="6"/>
  <c r="O2" i="6"/>
  <c r="F109" i="2"/>
  <c r="I109" i="2"/>
  <c r="E109" i="2"/>
  <c r="D109" i="2"/>
  <c r="C109" i="2"/>
  <c r="K106" i="2"/>
  <c r="G109" i="2"/>
  <c r="H109" i="2"/>
  <c r="G81" i="2"/>
  <c r="H81" i="2"/>
  <c r="E81" i="2"/>
  <c r="I81" i="2"/>
  <c r="C81" i="2"/>
  <c r="F81" i="2"/>
  <c r="D81" i="2"/>
  <c r="O74" i="2"/>
  <c r="I54" i="2"/>
  <c r="F54" i="2"/>
  <c r="C54" i="2"/>
  <c r="H54" i="2"/>
  <c r="T42" i="2"/>
  <c r="G54" i="2"/>
  <c r="E54" i="2"/>
  <c r="D54" i="2"/>
  <c r="I15" i="2"/>
  <c r="B15" i="2"/>
  <c r="F15" i="2"/>
  <c r="G15" i="2"/>
  <c r="D15" i="2"/>
  <c r="H15" i="2"/>
  <c r="C15" i="2"/>
  <c r="E15" i="2"/>
  <c r="C39" i="2"/>
  <c r="G39" i="2"/>
  <c r="F39" i="2"/>
  <c r="D39" i="2"/>
  <c r="I39" i="2"/>
  <c r="U26" i="2"/>
  <c r="H39" i="2"/>
  <c r="E39" i="2"/>
  <c r="D10" i="8"/>
  <c r="L2" i="8"/>
  <c r="I72" i="2"/>
  <c r="E72" i="2"/>
  <c r="D72" i="2"/>
  <c r="G72" i="2"/>
  <c r="V58" i="2"/>
  <c r="F72" i="2"/>
  <c r="H72" i="2"/>
  <c r="C72" i="2"/>
  <c r="D13" i="8"/>
  <c r="O2" i="8"/>
  <c r="I71" i="2"/>
  <c r="H71" i="2"/>
  <c r="G71" i="2"/>
  <c r="F71" i="2"/>
  <c r="D71" i="2"/>
  <c r="C71" i="2"/>
  <c r="E71" i="2"/>
  <c r="U58" i="2"/>
  <c r="N26" i="2"/>
  <c r="G32" i="2"/>
  <c r="F32" i="2"/>
  <c r="H32" i="2"/>
  <c r="C32" i="2"/>
  <c r="I32" i="2"/>
  <c r="E32" i="2"/>
  <c r="D32" i="2"/>
  <c r="AB13" i="7"/>
  <c r="D12" i="8"/>
  <c r="N2" i="8"/>
  <c r="D13" i="10"/>
  <c r="O2" i="10"/>
  <c r="V13" i="10" s="1"/>
  <c r="AI13" i="10" s="1"/>
  <c r="D11" i="10"/>
  <c r="M2" i="10"/>
  <c r="V11" i="10" s="1"/>
  <c r="AI11" i="10" s="1"/>
  <c r="H34" i="2"/>
  <c r="E34" i="2"/>
  <c r="D34" i="2"/>
  <c r="F34" i="2"/>
  <c r="I34" i="2"/>
  <c r="P26" i="2"/>
  <c r="G34" i="2"/>
  <c r="C34" i="2"/>
  <c r="AC10" i="8"/>
  <c r="AF10" i="8" s="1"/>
  <c r="G24" i="8" s="1"/>
  <c r="B16" i="2"/>
  <c r="I16" i="2"/>
  <c r="D16" i="2"/>
  <c r="H16" i="2"/>
  <c r="E16" i="2"/>
  <c r="C16" i="2"/>
  <c r="G16" i="2"/>
  <c r="F16" i="2"/>
  <c r="AM6" i="2"/>
  <c r="S7" i="2" s="1"/>
  <c r="S10" i="2"/>
  <c r="S8" i="2"/>
  <c r="S9" i="2"/>
  <c r="D48" i="2"/>
  <c r="I48" i="2"/>
  <c r="H48" i="2"/>
  <c r="F48" i="2"/>
  <c r="E48" i="2"/>
  <c r="G48" i="2"/>
  <c r="C48" i="2"/>
  <c r="N42" i="2"/>
  <c r="E113" i="2"/>
  <c r="G113" i="2"/>
  <c r="H113" i="2"/>
  <c r="C113" i="2"/>
  <c r="F113" i="2"/>
  <c r="I113" i="2"/>
  <c r="O106" i="2"/>
  <c r="D113" i="2"/>
  <c r="F110" i="2"/>
  <c r="H110" i="2"/>
  <c r="L106" i="2"/>
  <c r="I110" i="2"/>
  <c r="D110" i="2"/>
  <c r="E110" i="2"/>
  <c r="C110" i="2"/>
  <c r="G110" i="2"/>
  <c r="I98" i="2"/>
  <c r="D98" i="2"/>
  <c r="P90" i="2"/>
  <c r="H98" i="2"/>
  <c r="E98" i="2"/>
  <c r="F98" i="2"/>
  <c r="G98" i="2"/>
  <c r="C98" i="2"/>
  <c r="H29" i="2"/>
  <c r="I29" i="2"/>
  <c r="G29" i="2"/>
  <c r="F29" i="2"/>
  <c r="C29" i="2"/>
  <c r="K26" i="2"/>
  <c r="K27" i="2" s="1"/>
  <c r="E29" i="2"/>
  <c r="D29" i="2"/>
  <c r="Q9" i="2"/>
  <c r="AK6" i="2"/>
  <c r="Q7" i="2" s="1"/>
  <c r="Q8" i="2"/>
  <c r="Q10" i="2"/>
  <c r="U10" i="2"/>
  <c r="U9" i="2"/>
  <c r="U8" i="2"/>
  <c r="AO6" i="2"/>
  <c r="U7" i="2" s="1"/>
  <c r="G69" i="2"/>
  <c r="S58" i="2"/>
  <c r="F69" i="2"/>
  <c r="E69" i="2"/>
  <c r="D69" i="2"/>
  <c r="I69" i="2"/>
  <c r="C69" i="2"/>
  <c r="H69" i="2"/>
  <c r="G2" i="8"/>
  <c r="D5" i="8"/>
  <c r="D7" i="10"/>
  <c r="I2" i="10"/>
  <c r="V7" i="10" s="1"/>
  <c r="AI7" i="10" s="1"/>
  <c r="I49" i="2"/>
  <c r="O42" i="2"/>
  <c r="D49" i="2"/>
  <c r="F49" i="2"/>
  <c r="G49" i="2"/>
  <c r="C49" i="2"/>
  <c r="E49" i="2"/>
  <c r="H49" i="2"/>
  <c r="K2" i="10"/>
  <c r="V9" i="10" s="1"/>
  <c r="AI9" i="10" s="1"/>
  <c r="D9" i="10"/>
  <c r="D7" i="6"/>
  <c r="I2" i="6"/>
  <c r="I116" i="2"/>
  <c r="H116" i="2"/>
  <c r="R106" i="2"/>
  <c r="G116" i="2"/>
  <c r="E116" i="2"/>
  <c r="D116" i="2"/>
  <c r="C116" i="2"/>
  <c r="F116" i="2"/>
  <c r="D117" i="2"/>
  <c r="E117" i="2"/>
  <c r="F117" i="2"/>
  <c r="I117" i="2"/>
  <c r="G117" i="2"/>
  <c r="S106" i="2"/>
  <c r="H117" i="2"/>
  <c r="C117" i="2"/>
  <c r="D87" i="2"/>
  <c r="C87" i="2"/>
  <c r="F87" i="2"/>
  <c r="H87" i="2"/>
  <c r="I87" i="2"/>
  <c r="U74" i="2"/>
  <c r="G87" i="2"/>
  <c r="E87" i="2"/>
  <c r="F120" i="2"/>
  <c r="V106" i="2"/>
  <c r="H120" i="2"/>
  <c r="D120" i="2"/>
  <c r="G120" i="2"/>
  <c r="E120" i="2"/>
  <c r="I120" i="2"/>
  <c r="C120" i="2"/>
  <c r="L8" i="2"/>
  <c r="L9" i="2"/>
  <c r="L10" i="2"/>
  <c r="AF6" i="2"/>
  <c r="L7" i="2" s="1"/>
  <c r="D3" i="8"/>
  <c r="E2" i="8"/>
  <c r="I55" i="2"/>
  <c r="F55" i="2"/>
  <c r="C55" i="2"/>
  <c r="E55" i="2"/>
  <c r="D55" i="2"/>
  <c r="G55" i="2"/>
  <c r="U42" i="2"/>
  <c r="H55" i="2"/>
  <c r="G2" i="6"/>
  <c r="D5" i="6"/>
  <c r="B23" i="2"/>
  <c r="D23" i="2"/>
  <c r="G23" i="2"/>
  <c r="I23" i="2"/>
  <c r="H23" i="2"/>
  <c r="F23" i="2"/>
  <c r="E23" i="2"/>
  <c r="C23" i="2"/>
  <c r="E2" i="10"/>
  <c r="V3" i="10" s="1"/>
  <c r="AI3" i="10" s="1"/>
  <c r="D3" i="10"/>
  <c r="F111" i="2"/>
  <c r="M106" i="2"/>
  <c r="G111" i="2"/>
  <c r="I111" i="2"/>
  <c r="H111" i="2"/>
  <c r="E111" i="2"/>
  <c r="D111" i="2"/>
  <c r="C111" i="2"/>
  <c r="H51" i="2"/>
  <c r="G51" i="2"/>
  <c r="F51" i="2"/>
  <c r="C51" i="2"/>
  <c r="I51" i="2"/>
  <c r="E51" i="2"/>
  <c r="D51" i="2"/>
  <c r="Q42" i="2"/>
  <c r="N2" i="10"/>
  <c r="V12" i="10" s="1"/>
  <c r="AI12" i="10" s="1"/>
  <c r="D12" i="10"/>
  <c r="I13" i="2"/>
  <c r="E13" i="2"/>
  <c r="B13" i="2"/>
  <c r="F13" i="2"/>
  <c r="H13" i="2"/>
  <c r="G13" i="2"/>
  <c r="H9" i="2" s="1"/>
  <c r="D13" i="2"/>
  <c r="C13" i="2"/>
  <c r="C119" i="2"/>
  <c r="H119" i="2"/>
  <c r="D119" i="2"/>
  <c r="I119" i="2"/>
  <c r="F119" i="2"/>
  <c r="U106" i="2"/>
  <c r="G119" i="2"/>
  <c r="E119" i="2"/>
  <c r="I18" i="2"/>
  <c r="B18" i="2"/>
  <c r="C18" i="2"/>
  <c r="E18" i="2"/>
  <c r="H18" i="2"/>
  <c r="F18" i="2"/>
  <c r="D18" i="2"/>
  <c r="G18" i="2"/>
  <c r="AB5" i="6"/>
  <c r="O26" i="2"/>
  <c r="I33" i="2"/>
  <c r="G33" i="2"/>
  <c r="D33" i="2"/>
  <c r="E33" i="2"/>
  <c r="F33" i="2"/>
  <c r="H33" i="2"/>
  <c r="C33" i="2"/>
  <c r="F86" i="2"/>
  <c r="T74" i="2"/>
  <c r="G86" i="2"/>
  <c r="D86" i="2"/>
  <c r="H86" i="2"/>
  <c r="E86" i="2"/>
  <c r="C86" i="2"/>
  <c r="I86" i="2"/>
  <c r="V10" i="2"/>
  <c r="V8" i="2"/>
  <c r="V9" i="2"/>
  <c r="AP6" i="2"/>
  <c r="V7" i="2" s="1"/>
  <c r="R26" i="2"/>
  <c r="D36" i="2"/>
  <c r="F36" i="2"/>
  <c r="G36" i="2"/>
  <c r="E36" i="2"/>
  <c r="I36" i="2"/>
  <c r="C36" i="2"/>
  <c r="H36" i="2"/>
  <c r="AC12" i="9"/>
  <c r="AF12" i="9" s="1"/>
  <c r="G26" i="9" s="1"/>
  <c r="D10" i="10"/>
  <c r="L2" i="10"/>
  <c r="V10" i="10" s="1"/>
  <c r="AI10" i="10" s="1"/>
  <c r="D3" i="6"/>
  <c r="E2" i="6"/>
  <c r="V11" i="6"/>
  <c r="AI11" i="6" s="1"/>
  <c r="U11" i="2"/>
  <c r="V11" i="8"/>
  <c r="AI11" i="8" s="1"/>
  <c r="M3" i="8"/>
  <c r="AK7" i="9"/>
  <c r="Z7" i="9"/>
  <c r="Y7" i="9"/>
  <c r="W7" i="9"/>
  <c r="X7" i="9"/>
  <c r="AK6" i="7"/>
  <c r="Z6" i="7"/>
  <c r="Y6" i="7"/>
  <c r="X6" i="7"/>
  <c r="W6" i="7"/>
  <c r="AK10" i="7"/>
  <c r="Z10" i="7"/>
  <c r="W10" i="7"/>
  <c r="Y10" i="7"/>
  <c r="X10" i="7"/>
  <c r="Z7" i="11"/>
  <c r="Y7" i="11"/>
  <c r="X7" i="11"/>
  <c r="W7" i="11"/>
  <c r="AK7" i="11"/>
  <c r="AK4" i="9"/>
  <c r="Z4" i="9"/>
  <c r="X4" i="9"/>
  <c r="W4" i="9"/>
  <c r="Y4" i="9"/>
  <c r="AK3" i="7"/>
  <c r="Z3" i="7"/>
  <c r="Y3" i="7"/>
  <c r="X3" i="7"/>
  <c r="W3" i="7"/>
  <c r="X4" i="7"/>
  <c r="AK4" i="7"/>
  <c r="Z4" i="7"/>
  <c r="Y4" i="7"/>
  <c r="W4" i="7"/>
  <c r="AK8" i="9"/>
  <c r="Z8" i="9"/>
  <c r="X8" i="9"/>
  <c r="W8" i="9"/>
  <c r="Y8" i="9"/>
  <c r="AK13" i="7"/>
  <c r="Y13" i="7"/>
  <c r="Z13" i="7"/>
  <c r="X13" i="7"/>
  <c r="W13" i="7"/>
  <c r="V9" i="6"/>
  <c r="AI9" i="6" s="1"/>
  <c r="S11" i="2"/>
  <c r="AK5" i="11"/>
  <c r="Z5" i="11"/>
  <c r="Y5" i="11"/>
  <c r="X5" i="11"/>
  <c r="W5" i="11"/>
  <c r="AK13" i="11"/>
  <c r="Z13" i="11"/>
  <c r="Y13" i="11"/>
  <c r="X13" i="11"/>
  <c r="W13" i="11"/>
  <c r="AA11" i="7"/>
  <c r="AK10" i="11"/>
  <c r="Z10" i="11"/>
  <c r="Y10" i="11"/>
  <c r="X10" i="11"/>
  <c r="W10" i="11"/>
  <c r="X6" i="9"/>
  <c r="AK6" i="9"/>
  <c r="Z6" i="9"/>
  <c r="Y6" i="9"/>
  <c r="W6" i="9"/>
  <c r="AK12" i="9"/>
  <c r="Z12" i="9"/>
  <c r="X12" i="9"/>
  <c r="W12" i="9"/>
  <c r="Y12" i="9"/>
  <c r="V12" i="6"/>
  <c r="AI12" i="6" s="1"/>
  <c r="V11" i="2"/>
  <c r="AK5" i="7"/>
  <c r="Y5" i="7"/>
  <c r="X5" i="7"/>
  <c r="W5" i="7"/>
  <c r="Z5" i="7"/>
  <c r="AD11" i="7"/>
  <c r="AG11" i="7" s="1"/>
  <c r="L25" i="7" s="1"/>
  <c r="X10" i="9"/>
  <c r="W10" i="9"/>
  <c r="AK10" i="9"/>
  <c r="Z10" i="9"/>
  <c r="Y10" i="9"/>
  <c r="Z7" i="7"/>
  <c r="X7" i="7"/>
  <c r="AK7" i="7"/>
  <c r="Y7" i="7"/>
  <c r="W7" i="7"/>
  <c r="AK11" i="9"/>
  <c r="Z11" i="9"/>
  <c r="Y11" i="9"/>
  <c r="X11" i="9"/>
  <c r="W11" i="9"/>
  <c r="P60" i="2" l="1"/>
  <c r="T92" i="2"/>
  <c r="T107" i="2"/>
  <c r="P44" i="2"/>
  <c r="P43" i="2"/>
  <c r="T108" i="2"/>
  <c r="J3" i="8"/>
  <c r="P59" i="2"/>
  <c r="T93" i="2"/>
  <c r="F94" i="2"/>
  <c r="I94" i="2"/>
  <c r="E94" i="2"/>
  <c r="D94" i="2"/>
  <c r="M60" i="2"/>
  <c r="M59" i="2"/>
  <c r="C94" i="2"/>
  <c r="L90" i="2"/>
  <c r="L91" i="2" s="1"/>
  <c r="H94" i="2"/>
  <c r="V74" i="2"/>
  <c r="V76" i="2" s="1"/>
  <c r="E88" i="2"/>
  <c r="E45" i="2"/>
  <c r="F45" i="2"/>
  <c r="I45" i="2"/>
  <c r="C45" i="2"/>
  <c r="K42" i="2"/>
  <c r="K45" i="2" s="1"/>
  <c r="AK3" i="9"/>
  <c r="AI3" i="9"/>
  <c r="Z8" i="10"/>
  <c r="AI8" i="10"/>
  <c r="Y8" i="11"/>
  <c r="AI8" i="11"/>
  <c r="Y12" i="11"/>
  <c r="AI12" i="11"/>
  <c r="Z3" i="11"/>
  <c r="AI3" i="11"/>
  <c r="AK4" i="10"/>
  <c r="AI4" i="10"/>
  <c r="Y5" i="10"/>
  <c r="AI5" i="10"/>
  <c r="X9" i="11"/>
  <c r="AI9" i="11"/>
  <c r="X6" i="11"/>
  <c r="AI6" i="11"/>
  <c r="AK11" i="11"/>
  <c r="AI11" i="11"/>
  <c r="W5" i="9"/>
  <c r="AI5" i="9"/>
  <c r="H45" i="2"/>
  <c r="G45" i="2"/>
  <c r="AI2" i="6"/>
  <c r="AI15" i="6"/>
  <c r="X12" i="7"/>
  <c r="AI12" i="7"/>
  <c r="W9" i="7"/>
  <c r="AI9" i="7"/>
  <c r="AG2" i="9"/>
  <c r="L16" i="9" s="1"/>
  <c r="P11" i="2"/>
  <c r="X8" i="10"/>
  <c r="AK8" i="10"/>
  <c r="W8" i="10"/>
  <c r="Y8" i="10"/>
  <c r="AF11" i="6"/>
  <c r="G25" i="6" s="1"/>
  <c r="AF12" i="6"/>
  <c r="G26" i="6" s="1"/>
  <c r="AF3" i="6"/>
  <c r="G17" i="6" s="1"/>
  <c r="AF4" i="6"/>
  <c r="G18" i="6" s="1"/>
  <c r="AF6" i="6"/>
  <c r="G20" i="6" s="1"/>
  <c r="AF13" i="6"/>
  <c r="G27" i="6" s="1"/>
  <c r="AF5" i="6"/>
  <c r="G19" i="6" s="1"/>
  <c r="AF7" i="6"/>
  <c r="G21" i="6" s="1"/>
  <c r="AF9" i="6"/>
  <c r="G23" i="6" s="1"/>
  <c r="AF8" i="6"/>
  <c r="G22" i="6" s="1"/>
  <c r="AF10" i="6"/>
  <c r="G24" i="6" s="1"/>
  <c r="G16" i="6"/>
  <c r="T11" i="2"/>
  <c r="Y5" i="9"/>
  <c r="X9" i="7"/>
  <c r="X5" i="9"/>
  <c r="Z5" i="9"/>
  <c r="AK3" i="11"/>
  <c r="V9" i="8"/>
  <c r="W11" i="11"/>
  <c r="AK5" i="9"/>
  <c r="AK4" i="11"/>
  <c r="X11" i="11"/>
  <c r="W4" i="11"/>
  <c r="X4" i="11"/>
  <c r="Y9" i="7"/>
  <c r="Z9" i="7"/>
  <c r="Z4" i="11"/>
  <c r="AK9" i="7"/>
  <c r="Y4" i="11"/>
  <c r="X5" i="10"/>
  <c r="Z5" i="10"/>
  <c r="AK5" i="10"/>
  <c r="W5" i="10"/>
  <c r="Z12" i="11"/>
  <c r="Y11" i="11"/>
  <c r="Z11" i="11"/>
  <c r="AA2" i="10"/>
  <c r="AD2" i="10"/>
  <c r="X8" i="11"/>
  <c r="AK8" i="11"/>
  <c r="H3" i="8"/>
  <c r="Z8" i="11"/>
  <c r="Z12" i="7"/>
  <c r="W12" i="7"/>
  <c r="Y9" i="11"/>
  <c r="Y12" i="7"/>
  <c r="V4" i="8"/>
  <c r="W3" i="9"/>
  <c r="Y3" i="11"/>
  <c r="X4" i="10"/>
  <c r="N3" i="2"/>
  <c r="W3" i="11"/>
  <c r="X3" i="11"/>
  <c r="AK12" i="7"/>
  <c r="Z9" i="11"/>
  <c r="W8" i="11"/>
  <c r="W4" i="10"/>
  <c r="Z4" i="10"/>
  <c r="Y6" i="11"/>
  <c r="Y4" i="10"/>
  <c r="Z6" i="11"/>
  <c r="Y3" i="9"/>
  <c r="AK9" i="11"/>
  <c r="AK6" i="11"/>
  <c r="Z3" i="9"/>
  <c r="X3" i="9"/>
  <c r="W9" i="11"/>
  <c r="W6" i="11"/>
  <c r="AD6" i="10"/>
  <c r="V7" i="8"/>
  <c r="AI7" i="8" s="1"/>
  <c r="I3" i="8"/>
  <c r="AK12" i="11"/>
  <c r="W12" i="11"/>
  <c r="X12" i="11"/>
  <c r="S44" i="2"/>
  <c r="S45" i="2"/>
  <c r="S43" i="2"/>
  <c r="P75" i="2"/>
  <c r="P77" i="2"/>
  <c r="P76" i="2"/>
  <c r="AA6" i="10"/>
  <c r="O91" i="2"/>
  <c r="O93" i="2"/>
  <c r="O92" i="2"/>
  <c r="L77" i="2"/>
  <c r="L76" i="2"/>
  <c r="L75" i="2"/>
  <c r="K61" i="2"/>
  <c r="K59" i="2"/>
  <c r="K60" i="2"/>
  <c r="O61" i="2"/>
  <c r="O60" i="2"/>
  <c r="O59" i="2"/>
  <c r="R44" i="2"/>
  <c r="R43" i="2"/>
  <c r="R45" i="2"/>
  <c r="AA2" i="11"/>
  <c r="AA12" i="9"/>
  <c r="AD10" i="9"/>
  <c r="AG10" i="9" s="1"/>
  <c r="L24" i="9" s="1"/>
  <c r="AD7" i="9"/>
  <c r="P93" i="2"/>
  <c r="P92" i="2"/>
  <c r="P91" i="2"/>
  <c r="Y11" i="10"/>
  <c r="W11" i="10"/>
  <c r="AK11" i="10"/>
  <c r="Z11" i="10"/>
  <c r="X11" i="10"/>
  <c r="L29" i="2"/>
  <c r="L28" i="2"/>
  <c r="L27" i="2"/>
  <c r="M43" i="2"/>
  <c r="M45" i="2"/>
  <c r="M44" i="2"/>
  <c r="AD2" i="8"/>
  <c r="AA2" i="8"/>
  <c r="Q93" i="2"/>
  <c r="Q91" i="2"/>
  <c r="Q92" i="2"/>
  <c r="W9" i="9"/>
  <c r="X9" i="9"/>
  <c r="AK9" i="9"/>
  <c r="Z9" i="9"/>
  <c r="Y9" i="9"/>
  <c r="U93" i="2"/>
  <c r="U91" i="2"/>
  <c r="U92" i="2"/>
  <c r="V8" i="6"/>
  <c r="AI8" i="6" s="1"/>
  <c r="R11" i="2"/>
  <c r="P107" i="2"/>
  <c r="P108" i="2"/>
  <c r="P109" i="2"/>
  <c r="V5" i="8"/>
  <c r="AI5" i="8" s="1"/>
  <c r="G3" i="8"/>
  <c r="L107" i="2"/>
  <c r="L108" i="2"/>
  <c r="L109" i="2"/>
  <c r="AD11" i="9"/>
  <c r="AG11" i="9" s="1"/>
  <c r="V3" i="6"/>
  <c r="AI3" i="6" s="1"/>
  <c r="M11" i="2"/>
  <c r="T76" i="2"/>
  <c r="T75" i="2"/>
  <c r="T77" i="2"/>
  <c r="V7" i="6"/>
  <c r="AI7" i="6" s="1"/>
  <c r="Q11" i="2"/>
  <c r="V10" i="8"/>
  <c r="AI10" i="8" s="1"/>
  <c r="L3" i="8"/>
  <c r="Y13" i="10"/>
  <c r="X13" i="10"/>
  <c r="W13" i="10"/>
  <c r="AK13" i="10"/>
  <c r="Z13" i="10"/>
  <c r="AD122" i="2"/>
  <c r="AB122" i="2" s="1"/>
  <c r="AK2" i="6"/>
  <c r="X2" i="6"/>
  <c r="Y2" i="6"/>
  <c r="W2" i="6"/>
  <c r="Z2" i="6"/>
  <c r="S92" i="2"/>
  <c r="S91" i="2"/>
  <c r="S93" i="2"/>
  <c r="X10" i="10"/>
  <c r="Z10" i="10"/>
  <c r="AK10" i="10"/>
  <c r="Y10" i="10"/>
  <c r="W10" i="10"/>
  <c r="V3" i="8"/>
  <c r="AI3" i="8" s="1"/>
  <c r="E3" i="8"/>
  <c r="U77" i="2"/>
  <c r="U76" i="2"/>
  <c r="U75" i="2"/>
  <c r="S107" i="2"/>
  <c r="S109" i="2"/>
  <c r="S108" i="2"/>
  <c r="O45" i="2"/>
  <c r="O44" i="2"/>
  <c r="O43" i="2"/>
  <c r="N43" i="2"/>
  <c r="N45" i="2"/>
  <c r="N44" i="2"/>
  <c r="O75" i="2"/>
  <c r="O77" i="2"/>
  <c r="O76" i="2"/>
  <c r="V13" i="6"/>
  <c r="AI13" i="6" s="1"/>
  <c r="W11" i="2"/>
  <c r="K92" i="2"/>
  <c r="K93" i="2"/>
  <c r="K91" i="2"/>
  <c r="Y13" i="9"/>
  <c r="Z13" i="9"/>
  <c r="AK13" i="9"/>
  <c r="X13" i="9"/>
  <c r="W13" i="9"/>
  <c r="V5" i="6"/>
  <c r="AI5" i="6" s="1"/>
  <c r="O11" i="2"/>
  <c r="R59" i="2"/>
  <c r="R60" i="2"/>
  <c r="R61" i="2"/>
  <c r="M108" i="2"/>
  <c r="M109" i="2"/>
  <c r="M107" i="2"/>
  <c r="U45" i="2"/>
  <c r="U43" i="2"/>
  <c r="U44" i="2"/>
  <c r="W9" i="10"/>
  <c r="Z9" i="10"/>
  <c r="AK9" i="10"/>
  <c r="Y9" i="10"/>
  <c r="X9" i="10"/>
  <c r="K29" i="2"/>
  <c r="K28" i="2"/>
  <c r="O107" i="2"/>
  <c r="O108" i="2"/>
  <c r="O109" i="2"/>
  <c r="N3" i="8"/>
  <c r="V12" i="8"/>
  <c r="AI12" i="8" s="1"/>
  <c r="V60" i="2"/>
  <c r="V59" i="2"/>
  <c r="V61" i="2"/>
  <c r="Q75" i="2"/>
  <c r="Q77" i="2"/>
  <c r="Q76" i="2"/>
  <c r="N91" i="2"/>
  <c r="N92" i="2"/>
  <c r="N93" i="2"/>
  <c r="T60" i="2"/>
  <c r="T61" i="2"/>
  <c r="T59" i="2"/>
  <c r="Q29" i="2"/>
  <c r="Q27" i="2"/>
  <c r="Q28" i="2"/>
  <c r="S76" i="2"/>
  <c r="S77" i="2"/>
  <c r="S75" i="2"/>
  <c r="K75" i="2"/>
  <c r="K77" i="2"/>
  <c r="K76" i="2"/>
  <c r="R29" i="2"/>
  <c r="R28" i="2"/>
  <c r="R27" i="2"/>
  <c r="AK12" i="10"/>
  <c r="W12" i="10"/>
  <c r="Z12" i="10"/>
  <c r="Y12" i="10"/>
  <c r="X12" i="10"/>
  <c r="W7" i="10"/>
  <c r="Y7" i="10"/>
  <c r="Z7" i="10"/>
  <c r="AK7" i="10"/>
  <c r="X7" i="10"/>
  <c r="U28" i="2"/>
  <c r="U29" i="2"/>
  <c r="U27" i="2"/>
  <c r="K109" i="2"/>
  <c r="K107" i="2"/>
  <c r="K108" i="2"/>
  <c r="V93" i="2"/>
  <c r="V92" i="2"/>
  <c r="V91" i="2"/>
  <c r="X8" i="7"/>
  <c r="Y8" i="7"/>
  <c r="AK8" i="7"/>
  <c r="Z8" i="7"/>
  <c r="W8" i="7"/>
  <c r="N59" i="2"/>
  <c r="N60" i="2"/>
  <c r="N61" i="2"/>
  <c r="AD2" i="11"/>
  <c r="P28" i="2"/>
  <c r="P29" i="2"/>
  <c r="P27" i="2"/>
  <c r="U109" i="2"/>
  <c r="U108" i="2"/>
  <c r="U107" i="2"/>
  <c r="Q45" i="2"/>
  <c r="Q44" i="2"/>
  <c r="Q43" i="2"/>
  <c r="R108" i="2"/>
  <c r="R107" i="2"/>
  <c r="R109" i="2"/>
  <c r="N28" i="2"/>
  <c r="N27" i="2"/>
  <c r="N29" i="2"/>
  <c r="T45" i="2"/>
  <c r="T44" i="2"/>
  <c r="T43" i="2"/>
  <c r="L59" i="2"/>
  <c r="L61" i="2"/>
  <c r="L60" i="2"/>
  <c r="N108" i="2"/>
  <c r="N107" i="2"/>
  <c r="N109" i="2"/>
  <c r="R92" i="2"/>
  <c r="R93" i="2"/>
  <c r="R91" i="2"/>
  <c r="R76" i="2"/>
  <c r="R75" i="2"/>
  <c r="R77" i="2"/>
  <c r="N76" i="2"/>
  <c r="N75" i="2"/>
  <c r="N77" i="2"/>
  <c r="O29" i="2"/>
  <c r="O27" i="2"/>
  <c r="O28" i="2"/>
  <c r="AK3" i="10"/>
  <c r="Y3" i="10"/>
  <c r="Z3" i="10"/>
  <c r="W3" i="10"/>
  <c r="X3" i="10"/>
  <c r="V108" i="2"/>
  <c r="V109" i="2"/>
  <c r="V107" i="2"/>
  <c r="S59" i="2"/>
  <c r="S60" i="2"/>
  <c r="S61" i="2"/>
  <c r="U61" i="2"/>
  <c r="U59" i="2"/>
  <c r="U60" i="2"/>
  <c r="V13" i="8"/>
  <c r="AI13" i="8" s="1"/>
  <c r="O3" i="8"/>
  <c r="T27" i="2"/>
  <c r="T29" i="2"/>
  <c r="T28" i="2"/>
  <c r="V4" i="6"/>
  <c r="AI4" i="6" s="1"/>
  <c r="N11" i="2"/>
  <c r="M28" i="2"/>
  <c r="M27" i="2"/>
  <c r="M29" i="2"/>
  <c r="V45" i="2"/>
  <c r="V43" i="2"/>
  <c r="V44" i="2"/>
  <c r="M92" i="2"/>
  <c r="M91" i="2"/>
  <c r="M93" i="2"/>
  <c r="M76" i="2"/>
  <c r="M75" i="2"/>
  <c r="M77" i="2"/>
  <c r="L45" i="2"/>
  <c r="L43" i="2"/>
  <c r="L44" i="2"/>
  <c r="S28" i="2"/>
  <c r="S27" i="2"/>
  <c r="S29" i="2"/>
  <c r="V28" i="2"/>
  <c r="V27" i="2"/>
  <c r="V29" i="2"/>
  <c r="Q109" i="2"/>
  <c r="Q108" i="2"/>
  <c r="Q107" i="2"/>
  <c r="AD6" i="7"/>
  <c r="AG6" i="7" s="1"/>
  <c r="L20" i="7" s="1"/>
  <c r="AA6" i="7"/>
  <c r="AA7" i="7"/>
  <c r="AD5" i="7"/>
  <c r="AG5" i="7" s="1"/>
  <c r="L19" i="7" s="1"/>
  <c r="AD4" i="9"/>
  <c r="AG4" i="9" s="1"/>
  <c r="AD4" i="7"/>
  <c r="AG4" i="7" s="1"/>
  <c r="L18" i="7" s="1"/>
  <c r="AD6" i="9"/>
  <c r="AG6" i="9" s="1"/>
  <c r="AD10" i="11"/>
  <c r="AG10" i="11" s="1"/>
  <c r="L24" i="11" s="1"/>
  <c r="AA3" i="7"/>
  <c r="AD10" i="7"/>
  <c r="AG10" i="7" s="1"/>
  <c r="L24" i="7" s="1"/>
  <c r="AD3" i="7"/>
  <c r="AG3" i="7" s="1"/>
  <c r="L17" i="7" s="1"/>
  <c r="AA10" i="7"/>
  <c r="AD7" i="7"/>
  <c r="AG7" i="7" s="1"/>
  <c r="L21" i="7" s="1"/>
  <c r="AA5" i="11"/>
  <c r="AD8" i="9"/>
  <c r="AG8" i="9" s="1"/>
  <c r="AA4" i="9"/>
  <c r="AD7" i="11"/>
  <c r="AG7" i="11" s="1"/>
  <c r="AA7" i="9"/>
  <c r="AK6" i="6"/>
  <c r="W6" i="6"/>
  <c r="AD126" i="2"/>
  <c r="AB126" i="2" s="1"/>
  <c r="Z6" i="6"/>
  <c r="Y6" i="6"/>
  <c r="X6" i="6"/>
  <c r="AA13" i="7"/>
  <c r="AA8" i="9"/>
  <c r="AA10" i="9"/>
  <c r="AD5" i="11"/>
  <c r="AG5" i="11" s="1"/>
  <c r="W11" i="8"/>
  <c r="Z11" i="8"/>
  <c r="AK11" i="8"/>
  <c r="X11" i="8"/>
  <c r="Y11" i="8"/>
  <c r="AK12" i="6"/>
  <c r="Z12" i="6"/>
  <c r="Y12" i="6"/>
  <c r="X12" i="6"/>
  <c r="W12" i="6"/>
  <c r="AA6" i="9"/>
  <c r="AA13" i="11"/>
  <c r="W9" i="6"/>
  <c r="Z9" i="6"/>
  <c r="AK9" i="6"/>
  <c r="Y9" i="6"/>
  <c r="X9" i="6"/>
  <c r="AK11" i="6"/>
  <c r="Z11" i="6"/>
  <c r="Y11" i="6"/>
  <c r="X11" i="6"/>
  <c r="W11" i="6"/>
  <c r="AA11" i="9"/>
  <c r="W8" i="8"/>
  <c r="AK8" i="8"/>
  <c r="Z8" i="8"/>
  <c r="Y8" i="8"/>
  <c r="X8" i="8"/>
  <c r="AA10" i="11"/>
  <c r="AD13" i="7"/>
  <c r="AG13" i="7" s="1"/>
  <c r="L27" i="7" s="1"/>
  <c r="AA5" i="7"/>
  <c r="AD12" i="9"/>
  <c r="AG12" i="9" s="1"/>
  <c r="L26" i="9" s="1"/>
  <c r="AD13" i="11"/>
  <c r="AG13" i="11" s="1"/>
  <c r="L27" i="11" s="1"/>
  <c r="Z10" i="6"/>
  <c r="Y10" i="6"/>
  <c r="X10" i="6"/>
  <c r="W10" i="6"/>
  <c r="AK10" i="6"/>
  <c r="AA4" i="7"/>
  <c r="AA7" i="11"/>
  <c r="X6" i="8"/>
  <c r="W6" i="8"/>
  <c r="AK6" i="8"/>
  <c r="Z6" i="8"/>
  <c r="Y6" i="8"/>
  <c r="V75" i="2" l="1"/>
  <c r="V77" i="2"/>
  <c r="K43" i="2"/>
  <c r="K44" i="2"/>
  <c r="L93" i="2"/>
  <c r="L92" i="2"/>
  <c r="Y4" i="8"/>
  <c r="AI4" i="8"/>
  <c r="Y9" i="8"/>
  <c r="AI9" i="8"/>
  <c r="AD8" i="10"/>
  <c r="AG8" i="10" s="1"/>
  <c r="L22" i="10" s="1"/>
  <c r="AG2" i="11"/>
  <c r="L16" i="11" s="1"/>
  <c r="AG6" i="10"/>
  <c r="L20" i="10" s="1"/>
  <c r="AG2" i="10"/>
  <c r="L16" i="10" s="1"/>
  <c r="AG7" i="9"/>
  <c r="L21" i="9" s="1"/>
  <c r="AG2" i="8"/>
  <c r="L16" i="8" s="1"/>
  <c r="AA8" i="10"/>
  <c r="AA5" i="9"/>
  <c r="AD5" i="9"/>
  <c r="AD9" i="7"/>
  <c r="AA9" i="7"/>
  <c r="W9" i="8"/>
  <c r="AD4" i="11"/>
  <c r="AA4" i="11"/>
  <c r="AK9" i="8"/>
  <c r="Z9" i="8"/>
  <c r="X9" i="8"/>
  <c r="AD11" i="11"/>
  <c r="W4" i="8"/>
  <c r="Z4" i="8"/>
  <c r="AK4" i="8"/>
  <c r="AD12" i="11"/>
  <c r="AG12" i="11" s="1"/>
  <c r="L26" i="11" s="1"/>
  <c r="X4" i="8"/>
  <c r="AD5" i="10"/>
  <c r="AA11" i="11"/>
  <c r="AA5" i="10"/>
  <c r="AA8" i="11"/>
  <c r="AA12" i="11"/>
  <c r="AD8" i="11"/>
  <c r="AG8" i="11" s="1"/>
  <c r="L22" i="11" s="1"/>
  <c r="AA12" i="7"/>
  <c r="AD3" i="11"/>
  <c r="AA6" i="11"/>
  <c r="AD12" i="7"/>
  <c r="AD9" i="11"/>
  <c r="AG9" i="11" s="1"/>
  <c r="L23" i="11" s="1"/>
  <c r="AA9" i="11"/>
  <c r="AA3" i="11"/>
  <c r="AD6" i="11"/>
  <c r="AA3" i="9"/>
  <c r="AD4" i="10"/>
  <c r="AD3" i="9"/>
  <c r="AA4" i="10"/>
  <c r="W7" i="8"/>
  <c r="AK7" i="8"/>
  <c r="Z7" i="8"/>
  <c r="Y7" i="8"/>
  <c r="X7" i="8"/>
  <c r="AD11" i="6"/>
  <c r="AD13" i="10"/>
  <c r="AG13" i="10" s="1"/>
  <c r="L27" i="10" s="1"/>
  <c r="AA8" i="7"/>
  <c r="AA9" i="9"/>
  <c r="AA13" i="9"/>
  <c r="AD2" i="6"/>
  <c r="AG2" i="6" s="1"/>
  <c r="AD11" i="10"/>
  <c r="AG11" i="10" s="1"/>
  <c r="L25" i="10" s="1"/>
  <c r="AD12" i="10"/>
  <c r="AG12" i="10" s="1"/>
  <c r="L26" i="10" s="1"/>
  <c r="L19" i="11"/>
  <c r="W5" i="6"/>
  <c r="AK5" i="6"/>
  <c r="Z5" i="6"/>
  <c r="AD125" i="2"/>
  <c r="AB125" i="2" s="1"/>
  <c r="Y5" i="6"/>
  <c r="X5" i="6"/>
  <c r="AA2" i="6"/>
  <c r="AA13" i="10"/>
  <c r="Z8" i="6"/>
  <c r="AK8" i="6"/>
  <c r="AD128" i="2"/>
  <c r="AB128" i="2" s="1"/>
  <c r="Y8" i="6"/>
  <c r="X8" i="6"/>
  <c r="W8" i="6"/>
  <c r="AD124" i="2"/>
  <c r="AB124" i="2" s="1"/>
  <c r="Z4" i="6"/>
  <c r="X4" i="6"/>
  <c r="AK4" i="6"/>
  <c r="Y4" i="6"/>
  <c r="W4" i="6"/>
  <c r="AA3" i="10"/>
  <c r="Y5" i="8"/>
  <c r="Z5" i="8"/>
  <c r="X5" i="8"/>
  <c r="AK5" i="8"/>
  <c r="W5" i="8"/>
  <c r="AA11" i="10"/>
  <c r="L21" i="11"/>
  <c r="AD3" i="10"/>
  <c r="AA12" i="10"/>
  <c r="AA9" i="10"/>
  <c r="Y13" i="6"/>
  <c r="X13" i="6"/>
  <c r="Z13" i="6"/>
  <c r="W13" i="6"/>
  <c r="AK13" i="6"/>
  <c r="Z3" i="6"/>
  <c r="AK3" i="6"/>
  <c r="Y3" i="6"/>
  <c r="AD123" i="2"/>
  <c r="AB123" i="2" s="1"/>
  <c r="X3" i="6"/>
  <c r="W3" i="6"/>
  <c r="L22" i="9"/>
  <c r="Y3" i="8"/>
  <c r="Z3" i="8"/>
  <c r="W3" i="8"/>
  <c r="AK3" i="8"/>
  <c r="X3" i="8"/>
  <c r="Y10" i="8"/>
  <c r="W10" i="8"/>
  <c r="X10" i="8"/>
  <c r="Z10" i="8"/>
  <c r="AK10" i="8"/>
  <c r="L25" i="9"/>
  <c r="AD9" i="9"/>
  <c r="AG9" i="9" s="1"/>
  <c r="AD7" i="10"/>
  <c r="AG7" i="10" s="1"/>
  <c r="L21" i="10" s="1"/>
  <c r="AA10" i="10"/>
  <c r="Y13" i="8"/>
  <c r="AK13" i="8"/>
  <c r="W13" i="8"/>
  <c r="X13" i="8"/>
  <c r="Z13" i="8"/>
  <c r="AD8" i="7"/>
  <c r="AA7" i="10"/>
  <c r="X12" i="8"/>
  <c r="AK12" i="8"/>
  <c r="W12" i="8"/>
  <c r="Y12" i="8"/>
  <c r="Z12" i="8"/>
  <c r="AD13" i="9"/>
  <c r="AG13" i="9" s="1"/>
  <c r="L27" i="9" s="1"/>
  <c r="AD10" i="10"/>
  <c r="AG10" i="10" s="1"/>
  <c r="L24" i="10" s="1"/>
  <c r="AK7" i="6"/>
  <c r="AD127" i="2"/>
  <c r="AB127" i="2" s="1"/>
  <c r="X7" i="6"/>
  <c r="W7" i="6"/>
  <c r="Z7" i="6"/>
  <c r="Y7" i="6"/>
  <c r="AD10" i="6"/>
  <c r="AG10" i="6" s="1"/>
  <c r="AA11" i="6"/>
  <c r="AA12" i="6"/>
  <c r="AD9" i="10"/>
  <c r="AG9" i="10" s="1"/>
  <c r="L23" i="10" s="1"/>
  <c r="L20" i="9"/>
  <c r="L18" i="9"/>
  <c r="AD6" i="6"/>
  <c r="AG6" i="6" s="1"/>
  <c r="AA6" i="6"/>
  <c r="AD6" i="8"/>
  <c r="AG6" i="8" s="1"/>
  <c r="L20" i="8" s="1"/>
  <c r="AA6" i="8"/>
  <c r="AA10" i="6"/>
  <c r="AA11" i="8"/>
  <c r="AD11" i="8"/>
  <c r="AG11" i="8" s="1"/>
  <c r="L25" i="8" s="1"/>
  <c r="AD8" i="8"/>
  <c r="AG8" i="8" s="1"/>
  <c r="L22" i="8" s="1"/>
  <c r="AA8" i="8"/>
  <c r="AD9" i="6"/>
  <c r="AG9" i="6" s="1"/>
  <c r="AD12" i="6"/>
  <c r="AG12" i="6" s="1"/>
  <c r="AA9" i="6"/>
  <c r="AG6" i="11" l="1"/>
  <c r="L20" i="11" s="1"/>
  <c r="AG4" i="11"/>
  <c r="L18" i="11" s="1"/>
  <c r="AG11" i="11"/>
  <c r="L25" i="11" s="1"/>
  <c r="AG3" i="11"/>
  <c r="L17" i="11" s="1"/>
  <c r="AG5" i="10"/>
  <c r="L19" i="10" s="1"/>
  <c r="AG4" i="10"/>
  <c r="L18" i="10" s="1"/>
  <c r="AG3" i="10"/>
  <c r="L17" i="10" s="1"/>
  <c r="AG5" i="9"/>
  <c r="L19" i="9" s="1"/>
  <c r="AG3" i="9"/>
  <c r="L17" i="9" s="1"/>
  <c r="AG8" i="7"/>
  <c r="L22" i="7" s="1"/>
  <c r="AG12" i="7"/>
  <c r="L26" i="7" s="1"/>
  <c r="AG9" i="7"/>
  <c r="L23" i="7" s="1"/>
  <c r="AG11" i="6"/>
  <c r="L25" i="6" s="1"/>
  <c r="L16" i="6"/>
  <c r="AA9" i="8"/>
  <c r="AD9" i="8"/>
  <c r="AD4" i="8"/>
  <c r="AA4" i="8"/>
  <c r="AD7" i="8"/>
  <c r="AA7" i="8"/>
  <c r="AA7" i="6"/>
  <c r="AD3" i="6"/>
  <c r="AA3" i="6"/>
  <c r="AD4" i="6"/>
  <c r="AD8" i="6"/>
  <c r="AD5" i="6"/>
  <c r="AG5" i="6" s="1"/>
  <c r="AD5" i="8"/>
  <c r="AA5" i="8"/>
  <c r="AA8" i="6"/>
  <c r="AD10" i="8"/>
  <c r="AG10" i="8" s="1"/>
  <c r="L24" i="8" s="1"/>
  <c r="AA10" i="8"/>
  <c r="AA13" i="6"/>
  <c r="L23" i="9"/>
  <c r="AD12" i="8"/>
  <c r="AG12" i="8" s="1"/>
  <c r="L26" i="8" s="1"/>
  <c r="AA12" i="8"/>
  <c r="AA13" i="8"/>
  <c r="AD13" i="8"/>
  <c r="AG13" i="8" s="1"/>
  <c r="L27" i="8" s="1"/>
  <c r="L26" i="6"/>
  <c r="AD13" i="6"/>
  <c r="AG13" i="6" s="1"/>
  <c r="L24" i="6"/>
  <c r="AD3" i="8"/>
  <c r="AA3" i="8"/>
  <c r="AD7" i="6"/>
  <c r="AA4" i="6"/>
  <c r="AA5" i="6"/>
  <c r="L23" i="6"/>
  <c r="L20" i="6"/>
  <c r="AG9" i="8" l="1"/>
  <c r="L23" i="8" s="1"/>
  <c r="AG5" i="8"/>
  <c r="L19" i="8" s="1"/>
  <c r="AG7" i="8"/>
  <c r="L21" i="8" s="1"/>
  <c r="AG4" i="8"/>
  <c r="L18" i="8" s="1"/>
  <c r="AG3" i="8"/>
  <c r="L17" i="8" s="1"/>
  <c r="AG7" i="6"/>
  <c r="L21" i="6" s="1"/>
  <c r="AG4" i="6"/>
  <c r="L18" i="6" s="1"/>
  <c r="AG8" i="6"/>
  <c r="L22" i="6" s="1"/>
  <c r="AG3" i="6"/>
  <c r="L17" i="6" s="1"/>
  <c r="L19" i="6"/>
  <c r="L27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<sst xmlns="http://schemas.openxmlformats.org/spreadsheetml/2006/main" count="234" uniqueCount="47">
  <si>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</si>
  <si>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</si>
  <si>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</si>
  <si>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</si>
  <si>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</si>
  <si>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</si>
  <si>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</si>
  <si>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</si>
  <si>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Last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</si>
  <si>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</si>
  <si>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</si>
  <si>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</si>
  <si>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</si>
  <si>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</si>
  <si>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</si>
  <si>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</si>
  <si>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</si>
  <si>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>SPREAD(CLES1?1-CLES1?2)</t>
  </si>
  <si>
    <t>SPREAD(CLES1?2-CLES1?3)</t>
  </si>
  <si>
    <t>SPREAD(CLES1?3-CLES1?4)</t>
  </si>
  <si>
    <t>SPREAD(CLES1?4-CLES1?5)</t>
  </si>
  <si>
    <t>SPREAD(CLES1?5-CLES1?6)</t>
  </si>
  <si>
    <t>SPREAD(CLES1?6-CLES1?7)</t>
  </si>
  <si>
    <t>SPREAD(CLES1?7-CLES1?8)</t>
  </si>
  <si>
    <t>SPREAD(CLES1?8-CLES1?9)</t>
  </si>
  <si>
    <t>SPREAD(CLES1?9-CLES1?10)</t>
  </si>
  <si>
    <t>SPREAD(CLES1?10-CLES1?11)</t>
  </si>
  <si>
    <t>Three Month Calendar Spreads</t>
  </si>
  <si>
    <t>Designed by Thom Hartle</t>
  </si>
  <si>
    <t>Month</t>
  </si>
  <si>
    <t>Day</t>
  </si>
  <si>
    <t>Year</t>
  </si>
  <si>
    <t xml:space="preserve">Chart Type: </t>
  </si>
  <si>
    <t>T</t>
  </si>
  <si>
    <t>All</t>
  </si>
  <si>
    <t>D</t>
  </si>
  <si>
    <t>Symbol</t>
  </si>
  <si>
    <t>I did not use the roll formula</t>
  </si>
  <si>
    <t>Two Month Calendar Spreads</t>
  </si>
  <si>
    <t>I did not use the roll</t>
  </si>
  <si>
    <t>Four Month Calendar Spreads</t>
  </si>
  <si>
    <t>Five Month Calendar Spreads</t>
  </si>
  <si>
    <t>I did not use the Roll</t>
  </si>
  <si>
    <t>I did not use the roll.</t>
  </si>
  <si>
    <t>Six Month Calendar Spreads</t>
  </si>
  <si>
    <t xml:space="preserve">  Copyright © 2024</t>
  </si>
  <si>
    <t>ZSE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</si>
</sst>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00"/>
    <numFmt numFmtId="166" formatCode="0.0000"/>
  </numFmts>
  <fonts count="3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16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1"/>
      <color theme="0"/>
      <name val="Arial"/>
      <family val="2"/>
    </font>
    <font>
      <sz val="22"/>
      <color theme="0"/>
      <name val="Century Gothic"/>
      <family val="2"/>
    </font>
    <font>
      <sz val="18"/>
      <color theme="0"/>
      <name val="Century Gothic"/>
      <family val="2"/>
    </font>
    <font>
      <b/>
      <sz val="9.5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57">
    <border>
      <left/>
      <right/>
      <top/>
      <bottom/>
      <diagonal/>
    </border>
    <border>
      <left style="medium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medium">
        <color theme="3"/>
      </right>
      <top style="thin">
        <color rgb="FF002060"/>
      </top>
      <bottom/>
      <diagonal/>
    </border>
    <border>
      <left style="medium">
        <color theme="3"/>
      </left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medium">
        <color theme="3"/>
      </left>
      <right/>
      <top/>
      <bottom style="thin">
        <color rgb="FF002060"/>
      </bottom>
      <diagonal/>
    </border>
    <border>
      <left style="thin">
        <color rgb="FFC00000"/>
      </left>
      <right/>
      <top style="thin">
        <color rgb="FF002060"/>
      </top>
      <bottom/>
      <diagonal/>
    </border>
    <border>
      <left style="thin">
        <color rgb="FFC00000"/>
      </left>
      <right/>
      <top/>
      <bottom style="thin">
        <color theme="3"/>
      </bottom>
      <diagonal/>
    </border>
    <border>
      <left style="thin">
        <color rgb="FFC00000"/>
      </left>
      <right/>
      <top style="thin">
        <color theme="3"/>
      </top>
      <bottom/>
      <diagonal/>
    </border>
    <border>
      <left style="thin">
        <color rgb="FFC00000"/>
      </left>
      <right/>
      <top/>
      <bottom style="thin">
        <color rgb="FF002060"/>
      </bottom>
      <diagonal/>
    </border>
    <border>
      <left/>
      <right style="thin">
        <color rgb="FFC00000"/>
      </right>
      <top/>
      <bottom style="thin">
        <color rgb="FFFF0000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rgb="FFC00000"/>
      </right>
      <top style="thin">
        <color rgb="FFFF0000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82">
    <xf numFmtId="0" fontId="0" fillId="0" borderId="0" xfId="0"/>
    <xf numFmtId="0" fontId="24" fillId="2" borderId="0" xfId="0" applyFont="1" applyFill="1" applyAlignment="1">
      <alignment shrinkToFit="1"/>
    </xf>
    <xf numFmtId="0" fontId="3" fillId="2" borderId="0" xfId="0" applyFont="1" applyFill="1" applyAlignment="1">
      <alignment shrinkToFit="1"/>
    </xf>
    <xf numFmtId="0" fontId="6" fillId="2" borderId="0" xfId="0" applyFont="1" applyFill="1" applyAlignment="1">
      <alignment shrinkToFit="1"/>
    </xf>
    <xf numFmtId="0" fontId="15" fillId="12" borderId="19" xfId="1" applyFont="1" applyFill="1" applyBorder="1" applyAlignment="1">
      <alignment horizontal="center" vertical="center" shrinkToFit="1"/>
    </xf>
    <xf numFmtId="0" fontId="15" fillId="12" borderId="41" xfId="0" applyFont="1" applyFill="1" applyBorder="1" applyAlignment="1">
      <alignment horizontal="center" vertical="center" shrinkToFit="1"/>
    </xf>
    <xf numFmtId="2" fontId="8" fillId="2" borderId="0" xfId="0" applyNumberFormat="1" applyFont="1" applyFill="1" applyAlignment="1">
      <alignment horizontal="center" shrinkToFit="1"/>
    </xf>
    <xf numFmtId="0" fontId="15" fillId="2" borderId="0" xfId="0" applyFont="1" applyFill="1" applyAlignment="1">
      <alignment horizontal="center" vertical="center" shrinkToFit="1"/>
    </xf>
    <xf numFmtId="0" fontId="15" fillId="12" borderId="41" xfId="0" applyFont="1" applyFill="1" applyBorder="1" applyAlignment="1">
      <alignment vertical="center" shrinkToFit="1"/>
    </xf>
    <xf numFmtId="0" fontId="15" fillId="12" borderId="41" xfId="0" applyFont="1" applyFill="1" applyBorder="1" applyAlignment="1">
      <alignment horizontal="right" vertical="center" shrinkToFit="1"/>
    </xf>
    <xf numFmtId="0" fontId="7" fillId="3" borderId="33" xfId="0" applyFont="1" applyFill="1" applyBorder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0" fontId="7" fillId="3" borderId="42" xfId="0" applyFont="1" applyFill="1" applyBorder="1" applyAlignment="1">
      <alignment horizontal="center" vertical="center" shrinkToFit="1"/>
    </xf>
    <xf numFmtId="0" fontId="17" fillId="4" borderId="21" xfId="0" applyFont="1" applyFill="1" applyBorder="1" applyAlignment="1">
      <alignment horizontal="center" shrinkToFit="1"/>
    </xf>
    <xf numFmtId="0" fontId="17" fillId="4" borderId="22" xfId="0" applyFont="1" applyFill="1" applyBorder="1" applyAlignment="1">
      <alignment horizontal="center" shrinkToFit="1"/>
    </xf>
    <xf numFmtId="0" fontId="17" fillId="4" borderId="23" xfId="0" applyFont="1" applyFill="1" applyBorder="1" applyAlignment="1">
      <alignment horizontal="center" shrinkToFit="1"/>
    </xf>
    <xf numFmtId="0" fontId="17" fillId="4" borderId="24" xfId="0" applyFont="1" applyFill="1" applyBorder="1" applyAlignment="1">
      <alignment horizontal="center" shrinkToFit="1"/>
    </xf>
    <xf numFmtId="0" fontId="17" fillId="4" borderId="25" xfId="0" applyFont="1" applyFill="1" applyBorder="1" applyAlignment="1">
      <alignment horizontal="center" shrinkToFit="1"/>
    </xf>
    <xf numFmtId="0" fontId="17" fillId="4" borderId="36" xfId="0" applyFont="1" applyFill="1" applyBorder="1" applyAlignment="1">
      <alignment horizontal="center" shrinkToFit="1"/>
    </xf>
    <xf numFmtId="0" fontId="15" fillId="10" borderId="7" xfId="0" applyFont="1" applyFill="1" applyBorder="1" applyAlignment="1">
      <alignment horizontal="center" vertical="center" shrinkToFit="1"/>
    </xf>
    <xf numFmtId="0" fontId="15" fillId="10" borderId="6" xfId="0" applyFont="1" applyFill="1" applyBorder="1" applyAlignment="1">
      <alignment horizontal="center" vertical="center" shrinkToFit="1"/>
    </xf>
    <xf numFmtId="0" fontId="15" fillId="10" borderId="37" xfId="0" applyFont="1" applyFill="1" applyBorder="1" applyAlignment="1">
      <alignment horizontal="center" vertical="center" shrinkToFit="1"/>
    </xf>
    <xf numFmtId="2" fontId="8" fillId="2" borderId="7" xfId="0" applyNumberFormat="1" applyFont="1" applyFill="1" applyBorder="1" applyAlignment="1">
      <alignment horizontal="center" shrinkToFit="1"/>
    </xf>
    <xf numFmtId="2" fontId="9" fillId="3" borderId="1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Alignment="1">
      <alignment horizontal="center" vertical="center" shrinkToFit="1"/>
    </xf>
    <xf numFmtId="2" fontId="9" fillId="3" borderId="0" xfId="0" applyNumberFormat="1" applyFont="1" applyFill="1" applyAlignment="1">
      <alignment horizontal="center" vertical="center" shrinkToFit="1"/>
    </xf>
    <xf numFmtId="165" fontId="11" fillId="3" borderId="0" xfId="0" applyNumberFormat="1" applyFont="1" applyFill="1" applyAlignment="1">
      <alignment horizontal="center" vertical="center" shrinkToFit="1"/>
    </xf>
    <xf numFmtId="165" fontId="11" fillId="3" borderId="54" xfId="0" applyNumberFormat="1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shrinkToFit="1"/>
    </xf>
    <xf numFmtId="0" fontId="8" fillId="4" borderId="6" xfId="0" applyFont="1" applyFill="1" applyBorder="1" applyAlignment="1">
      <alignment horizontal="center" shrinkToFit="1"/>
    </xf>
    <xf numFmtId="0" fontId="8" fillId="3" borderId="19" xfId="0" applyFont="1" applyFill="1" applyBorder="1" applyAlignment="1">
      <alignment horizontal="center" shrinkToFit="1"/>
    </xf>
    <xf numFmtId="0" fontId="8" fillId="2" borderId="0" xfId="0" applyFont="1" applyFill="1" applyAlignment="1">
      <alignment horizontal="center" shrinkToFit="1"/>
    </xf>
    <xf numFmtId="2" fontId="26" fillId="5" borderId="8" xfId="0" applyNumberFormat="1" applyFont="1" applyFill="1" applyBorder="1" applyAlignment="1">
      <alignment horizontal="center" vertical="center" shrinkToFit="1"/>
    </xf>
    <xf numFmtId="0" fontId="26" fillId="5" borderId="9" xfId="0" applyFont="1" applyFill="1" applyBorder="1" applyAlignment="1">
      <alignment horizontal="center" vertical="center" shrinkToFit="1"/>
    </xf>
    <xf numFmtId="0" fontId="26" fillId="5" borderId="53" xfId="0" applyFont="1" applyFill="1" applyBorder="1" applyAlignment="1">
      <alignment horizontal="center" vertical="center" shrinkToFit="1"/>
    </xf>
    <xf numFmtId="0" fontId="26" fillId="3" borderId="54" xfId="0" applyFont="1" applyFill="1" applyBorder="1" applyAlignment="1">
      <alignment horizontal="center" vertical="center" shrinkToFit="1"/>
    </xf>
    <xf numFmtId="0" fontId="21" fillId="3" borderId="27" xfId="0" applyFont="1" applyFill="1" applyBorder="1" applyAlignment="1">
      <alignment horizontal="center" vertical="center" shrinkToFit="1"/>
    </xf>
    <xf numFmtId="0" fontId="21" fillId="3" borderId="35" xfId="0" applyFont="1" applyFill="1" applyBorder="1" applyAlignment="1">
      <alignment horizontal="center" vertical="center" shrinkToFit="1"/>
    </xf>
    <xf numFmtId="0" fontId="21" fillId="3" borderId="0" xfId="0" applyFont="1" applyFill="1" applyAlignment="1">
      <alignment horizontal="center" vertical="center" shrinkToFit="1"/>
    </xf>
    <xf numFmtId="0" fontId="8" fillId="10" borderId="10" xfId="0" applyFont="1" applyFill="1" applyBorder="1" applyAlignment="1">
      <alignment horizontal="center" shrinkToFit="1"/>
    </xf>
    <xf numFmtId="2" fontId="8" fillId="2" borderId="5" xfId="0" applyNumberFormat="1" applyFont="1" applyFill="1" applyBorder="1" applyAlignment="1">
      <alignment horizontal="center" shrinkToFit="1"/>
    </xf>
    <xf numFmtId="3" fontId="8" fillId="2" borderId="16" xfId="0" applyNumberFormat="1" applyFont="1" applyFill="1" applyBorder="1" applyAlignment="1">
      <alignment shrinkToFit="1"/>
    </xf>
    <xf numFmtId="3" fontId="8" fillId="3" borderId="54" xfId="0" applyNumberFormat="1" applyFont="1" applyFill="1" applyBorder="1" applyAlignment="1">
      <alignment shrinkToFit="1"/>
    </xf>
    <xf numFmtId="2" fontId="16" fillId="3" borderId="0" xfId="0" applyNumberFormat="1" applyFont="1" applyFill="1" applyAlignment="1">
      <alignment horizontal="center" shrinkToFit="1"/>
    </xf>
    <xf numFmtId="2" fontId="16" fillId="3" borderId="34" xfId="0" applyNumberFormat="1" applyFont="1" applyFill="1" applyBorder="1" applyAlignment="1">
      <alignment horizontal="center" shrinkToFit="1"/>
    </xf>
    <xf numFmtId="2" fontId="16" fillId="3" borderId="33" xfId="0" applyNumberFormat="1" applyFont="1" applyFill="1" applyBorder="1" applyAlignment="1">
      <alignment horizontal="center" shrinkToFit="1"/>
    </xf>
    <xf numFmtId="0" fontId="3" fillId="3" borderId="0" xfId="0" applyFont="1" applyFill="1" applyAlignment="1">
      <alignment horizontal="center" shrinkToFit="1"/>
    </xf>
    <xf numFmtId="0" fontId="3" fillId="3" borderId="34" xfId="0" applyFont="1" applyFill="1" applyBorder="1" applyAlignment="1">
      <alignment horizontal="center" shrinkToFit="1"/>
    </xf>
    <xf numFmtId="2" fontId="3" fillId="3" borderId="0" xfId="0" applyNumberFormat="1" applyFont="1" applyFill="1" applyAlignment="1">
      <alignment horizontal="center" shrinkToFit="1"/>
    </xf>
    <xf numFmtId="2" fontId="3" fillId="3" borderId="34" xfId="0" applyNumberFormat="1" applyFont="1" applyFill="1" applyBorder="1" applyAlignment="1">
      <alignment horizontal="center" shrinkToFit="1"/>
    </xf>
    <xf numFmtId="0" fontId="8" fillId="3" borderId="0" xfId="0" applyFont="1" applyFill="1" applyAlignment="1">
      <alignment horizontal="center" shrinkToFit="1"/>
    </xf>
    <xf numFmtId="2" fontId="3" fillId="3" borderId="0" xfId="0" applyNumberFormat="1" applyFont="1" applyFill="1" applyAlignment="1">
      <alignment horizontal="right" shrinkToFit="1"/>
    </xf>
    <xf numFmtId="0" fontId="3" fillId="3" borderId="0" xfId="0" applyFont="1" applyFill="1" applyAlignment="1">
      <alignment shrinkToFit="1"/>
    </xf>
    <xf numFmtId="0" fontId="3" fillId="3" borderId="34" xfId="0" applyFont="1" applyFill="1" applyBorder="1" applyAlignment="1">
      <alignment shrinkToFit="1"/>
    </xf>
    <xf numFmtId="0" fontId="3" fillId="3" borderId="0" xfId="0" applyFont="1" applyFill="1" applyAlignment="1">
      <alignment horizontal="right" shrinkToFit="1"/>
    </xf>
    <xf numFmtId="0" fontId="8" fillId="5" borderId="15" xfId="0" applyFont="1" applyFill="1" applyBorder="1" applyAlignment="1">
      <alignment horizontal="center" shrinkToFit="1"/>
    </xf>
    <xf numFmtId="0" fontId="8" fillId="5" borderId="17" xfId="0" applyFont="1" applyFill="1" applyBorder="1" applyAlignment="1">
      <alignment horizontal="center" shrinkToFit="1"/>
    </xf>
    <xf numFmtId="1" fontId="20" fillId="5" borderId="17" xfId="0" applyNumberFormat="1" applyFont="1" applyFill="1" applyBorder="1" applyAlignment="1">
      <alignment horizontal="right" shrinkToFit="1"/>
    </xf>
    <xf numFmtId="1" fontId="8" fillId="5" borderId="17" xfId="0" applyNumberFormat="1" applyFont="1" applyFill="1" applyBorder="1" applyAlignment="1">
      <alignment horizontal="center" shrinkToFit="1"/>
    </xf>
    <xf numFmtId="1" fontId="18" fillId="5" borderId="17" xfId="0" applyNumberFormat="1" applyFont="1" applyFill="1" applyBorder="1" applyAlignment="1">
      <alignment horizontal="right" shrinkToFit="1"/>
    </xf>
    <xf numFmtId="1" fontId="19" fillId="5" borderId="17" xfId="0" applyNumberFormat="1" applyFont="1" applyFill="1" applyBorder="1" applyAlignment="1">
      <alignment horizontal="right" shrinkToFit="1"/>
    </xf>
    <xf numFmtId="1" fontId="8" fillId="5" borderId="18" xfId="0" applyNumberFormat="1" applyFont="1" applyFill="1" applyBorder="1" applyAlignment="1">
      <alignment horizontal="center" shrinkToFit="1"/>
    </xf>
    <xf numFmtId="2" fontId="3" fillId="3" borderId="24" xfId="0" applyNumberFormat="1" applyFont="1" applyFill="1" applyBorder="1" applyAlignment="1">
      <alignment horizontal="center" shrinkToFit="1"/>
    </xf>
    <xf numFmtId="2" fontId="3" fillId="3" borderId="24" xfId="0" applyNumberFormat="1" applyFont="1" applyFill="1" applyBorder="1" applyAlignment="1">
      <alignment horizontal="right" shrinkToFit="1"/>
    </xf>
    <xf numFmtId="0" fontId="3" fillId="3" borderId="24" xfId="0" applyFont="1" applyFill="1" applyBorder="1" applyAlignment="1">
      <alignment shrinkToFit="1"/>
    </xf>
    <xf numFmtId="0" fontId="3" fillId="3" borderId="36" xfId="0" applyFont="1" applyFill="1" applyBorder="1" applyAlignment="1">
      <alignment shrinkToFit="1"/>
    </xf>
    <xf numFmtId="0" fontId="23" fillId="3" borderId="54" xfId="0" applyFont="1" applyFill="1" applyBorder="1" applyAlignment="1">
      <alignment horizontal="center" vertical="center" shrinkToFit="1"/>
    </xf>
    <xf numFmtId="0" fontId="15" fillId="10" borderId="26" xfId="0" applyFont="1" applyFill="1" applyBorder="1" applyAlignment="1">
      <alignment horizontal="center" vertical="center" shrinkToFit="1"/>
    </xf>
    <xf numFmtId="0" fontId="8" fillId="3" borderId="38" xfId="0" applyFont="1" applyFill="1" applyBorder="1" applyAlignment="1">
      <alignment horizontal="center" shrinkToFit="1"/>
    </xf>
    <xf numFmtId="2" fontId="8" fillId="2" borderId="6" xfId="0" applyNumberFormat="1" applyFont="1" applyFill="1" applyBorder="1" applyAlignment="1">
      <alignment horizontal="center" shrinkToFit="1"/>
    </xf>
    <xf numFmtId="2" fontId="8" fillId="2" borderId="6" xfId="0" quotePrefix="1" applyNumberFormat="1" applyFont="1" applyFill="1" applyBorder="1" applyAlignment="1">
      <alignment horizontal="center" shrinkToFit="1"/>
    </xf>
    <xf numFmtId="3" fontId="26" fillId="5" borderId="53" xfId="0" applyNumberFormat="1" applyFont="1" applyFill="1" applyBorder="1" applyAlignment="1">
      <alignment horizontal="center" vertical="center" shrinkToFit="1"/>
    </xf>
    <xf numFmtId="3" fontId="26" fillId="3" borderId="54" xfId="0" applyNumberFormat="1" applyFont="1" applyFill="1" applyBorder="1" applyAlignment="1">
      <alignment horizontal="center" vertical="center" shrinkToFit="1"/>
    </xf>
    <xf numFmtId="0" fontId="8" fillId="3" borderId="39" xfId="0" applyFont="1" applyFill="1" applyBorder="1" applyAlignment="1">
      <alignment horizontal="center" shrinkToFit="1"/>
    </xf>
    <xf numFmtId="2" fontId="16" fillId="2" borderId="5" xfId="0" applyNumberFormat="1" applyFont="1" applyFill="1" applyBorder="1" applyAlignment="1">
      <alignment horizontal="center" shrinkToFit="1"/>
    </xf>
    <xf numFmtId="2" fontId="8" fillId="2" borderId="5" xfId="0" applyNumberFormat="1" applyFont="1" applyFill="1" applyBorder="1" applyAlignment="1">
      <alignment shrinkToFit="1"/>
    </xf>
    <xf numFmtId="0" fontId="8" fillId="3" borderId="40" xfId="0" applyFont="1" applyFill="1" applyBorder="1" applyAlignment="1">
      <alignment horizontal="center" shrinkToFit="1"/>
    </xf>
    <xf numFmtId="2" fontId="3" fillId="3" borderId="31" xfId="0" applyNumberFormat="1" applyFont="1" applyFill="1" applyBorder="1" applyAlignment="1">
      <alignment horizontal="center" shrinkToFit="1"/>
    </xf>
    <xf numFmtId="0" fontId="3" fillId="3" borderId="31" xfId="0" applyFont="1" applyFill="1" applyBorder="1" applyAlignment="1">
      <alignment horizontal="right" shrinkToFit="1"/>
    </xf>
    <xf numFmtId="0" fontId="3" fillId="3" borderId="31" xfId="0" applyFont="1" applyFill="1" applyBorder="1" applyAlignment="1">
      <alignment shrinkToFit="1"/>
    </xf>
    <xf numFmtId="0" fontId="3" fillId="3" borderId="32" xfId="0" applyFont="1" applyFill="1" applyBorder="1" applyAlignment="1">
      <alignment shrinkToFit="1"/>
    </xf>
    <xf numFmtId="2" fontId="3" fillId="2" borderId="0" xfId="0" applyNumberFormat="1" applyFont="1" applyFill="1" applyAlignment="1">
      <alignment horizontal="center" shrinkToFit="1"/>
    </xf>
    <xf numFmtId="2" fontId="3" fillId="2" borderId="0" xfId="0" applyNumberFormat="1" applyFont="1" applyFill="1" applyAlignment="1">
      <alignment horizontal="right" shrinkToFit="1"/>
    </xf>
    <xf numFmtId="0" fontId="3" fillId="2" borderId="34" xfId="0" applyFont="1" applyFill="1" applyBorder="1" applyAlignment="1">
      <alignment shrinkToFit="1"/>
    </xf>
    <xf numFmtId="0" fontId="3" fillId="2" borderId="0" xfId="0" applyFont="1" applyFill="1" applyAlignment="1">
      <alignment horizontal="right" shrinkToFit="1"/>
    </xf>
    <xf numFmtId="2" fontId="3" fillId="2" borderId="13" xfId="0" applyNumberFormat="1" applyFont="1" applyFill="1" applyBorder="1" applyAlignment="1">
      <alignment horizontal="center" shrinkToFit="1"/>
    </xf>
    <xf numFmtId="2" fontId="3" fillId="2" borderId="13" xfId="0" applyNumberFormat="1" applyFont="1" applyFill="1" applyBorder="1" applyAlignment="1">
      <alignment horizontal="right" shrinkToFit="1"/>
    </xf>
    <xf numFmtId="0" fontId="3" fillId="2" borderId="13" xfId="0" applyFont="1" applyFill="1" applyBorder="1" applyAlignment="1">
      <alignment shrinkToFit="1"/>
    </xf>
    <xf numFmtId="0" fontId="3" fillId="2" borderId="14" xfId="0" applyFont="1" applyFill="1" applyBorder="1" applyAlignment="1">
      <alignment shrinkToFit="1"/>
    </xf>
    <xf numFmtId="0" fontId="15" fillId="10" borderId="30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shrinkToFit="1"/>
    </xf>
    <xf numFmtId="0" fontId="3" fillId="2" borderId="26" xfId="0" applyFont="1" applyFill="1" applyBorder="1" applyAlignment="1">
      <alignment shrinkToFit="1"/>
    </xf>
    <xf numFmtId="1" fontId="8" fillId="5" borderId="3" xfId="0" applyNumberFormat="1" applyFont="1" applyFill="1" applyBorder="1" applyAlignment="1">
      <alignment horizontal="center" shrinkToFit="1"/>
    </xf>
    <xf numFmtId="1" fontId="8" fillId="5" borderId="55" xfId="0" applyNumberFormat="1" applyFont="1" applyFill="1" applyBorder="1" applyAlignment="1">
      <alignment horizontal="center" shrinkToFit="1"/>
    </xf>
    <xf numFmtId="0" fontId="22" fillId="2" borderId="33" xfId="1" applyFont="1" applyFill="1" applyBorder="1" applyAlignment="1">
      <alignment horizontal="right" vertical="center" shrinkToFit="1"/>
    </xf>
    <xf numFmtId="164" fontId="22" fillId="2" borderId="0" xfId="1" applyNumberFormat="1" applyFont="1" applyFill="1" applyAlignment="1">
      <alignment horizontal="left" vertical="center" shrinkToFit="1"/>
    </xf>
    <xf numFmtId="0" fontId="22" fillId="2" borderId="0" xfId="1" applyFont="1" applyFill="1" applyAlignment="1">
      <alignment horizontal="center" vertical="center" shrinkToFit="1"/>
    </xf>
    <xf numFmtId="164" fontId="14" fillId="3" borderId="31" xfId="0" applyNumberFormat="1" applyFont="1" applyFill="1" applyBorder="1" applyAlignment="1">
      <alignment vertical="center" shrinkToFit="1"/>
    </xf>
    <xf numFmtId="0" fontId="14" fillId="3" borderId="31" xfId="1" applyFont="1" applyFill="1" applyBorder="1" applyAlignment="1">
      <alignment horizontal="right" vertical="center" shrinkToFit="1"/>
    </xf>
    <xf numFmtId="0" fontId="14" fillId="11" borderId="12" xfId="1" applyFont="1" applyFill="1" applyBorder="1" applyAlignment="1">
      <alignment vertical="center" shrinkToFit="1"/>
    </xf>
    <xf numFmtId="164" fontId="14" fillId="11" borderId="13" xfId="0" applyNumberFormat="1" applyFont="1" applyFill="1" applyBorder="1" applyAlignment="1">
      <alignment vertical="center" shrinkToFit="1"/>
    </xf>
    <xf numFmtId="0" fontId="14" fillId="11" borderId="13" xfId="1" applyFont="1" applyFill="1" applyBorder="1" applyAlignment="1">
      <alignment horizontal="right" vertical="center" shrinkToFit="1"/>
    </xf>
    <xf numFmtId="2" fontId="3" fillId="2" borderId="31" xfId="0" applyNumberFormat="1" applyFont="1" applyFill="1" applyBorder="1" applyAlignment="1">
      <alignment shrinkToFit="1"/>
    </xf>
    <xf numFmtId="0" fontId="22" fillId="2" borderId="0" xfId="1" applyFont="1" applyFill="1" applyAlignment="1">
      <alignment horizontal="right" vertical="center" shrinkToFit="1"/>
    </xf>
    <xf numFmtId="0" fontId="3" fillId="2" borderId="0" xfId="0" applyFont="1" applyFill="1" applyAlignment="1">
      <alignment horizontal="center" shrinkToFit="1"/>
    </xf>
    <xf numFmtId="0" fontId="25" fillId="2" borderId="0" xfId="0" applyFont="1" applyFill="1" applyAlignment="1">
      <alignment shrinkToFit="1"/>
    </xf>
    <xf numFmtId="0" fontId="14" fillId="2" borderId="0" xfId="0" applyFont="1" applyFill="1" applyAlignment="1">
      <alignment shrinkToFit="1"/>
    </xf>
    <xf numFmtId="0" fontId="13" fillId="2" borderId="0" xfId="0" applyFont="1" applyFill="1" applyAlignment="1">
      <alignment shrinkToFit="1"/>
    </xf>
    <xf numFmtId="0" fontId="12" fillId="2" borderId="0" xfId="0" applyFont="1" applyFill="1" applyAlignment="1">
      <alignment shrinkToFit="1"/>
    </xf>
    <xf numFmtId="0" fontId="29" fillId="2" borderId="0" xfId="0" applyFont="1" applyFill="1" applyAlignment="1">
      <alignment shrinkToFit="1"/>
    </xf>
    <xf numFmtId="0" fontId="15" fillId="12" borderId="41" xfId="0" applyFont="1" applyFill="1" applyBorder="1" applyAlignment="1" applyProtection="1">
      <alignment horizontal="center" vertical="center" shrinkToFit="1"/>
      <protection locked="0"/>
    </xf>
    <xf numFmtId="0" fontId="8" fillId="10" borderId="11" xfId="0" applyFont="1" applyFill="1" applyBorder="1" applyAlignment="1">
      <alignment horizontal="center" shrinkToFit="1"/>
    </xf>
    <xf numFmtId="164" fontId="14" fillId="3" borderId="31" xfId="1" applyNumberFormat="1" applyFont="1" applyFill="1" applyBorder="1" applyAlignment="1">
      <alignment horizontal="left" vertical="center" shrinkToFit="1"/>
    </xf>
    <xf numFmtId="164" fontId="14" fillId="3" borderId="31" xfId="0" applyNumberFormat="1" applyFont="1" applyFill="1" applyBorder="1" applyAlignment="1">
      <alignment horizontal="left" vertical="center" shrinkToFit="1"/>
    </xf>
    <xf numFmtId="164" fontId="14" fillId="3" borderId="56" xfId="0" applyNumberFormat="1" applyFont="1" applyFill="1" applyBorder="1" applyAlignment="1">
      <alignment horizontal="left" vertical="center" shrinkToFit="1"/>
    </xf>
    <xf numFmtId="166" fontId="10" fillId="14" borderId="0" xfId="0" applyNumberFormat="1" applyFont="1" applyFill="1" applyAlignment="1">
      <alignment horizontal="center" vertical="center" shrinkToFit="1"/>
    </xf>
    <xf numFmtId="0" fontId="23" fillId="5" borderId="33" xfId="0" applyFont="1" applyFill="1" applyBorder="1" applyAlignment="1">
      <alignment horizontal="center" vertical="center" shrinkToFit="1"/>
    </xf>
    <xf numFmtId="0" fontId="23" fillId="5" borderId="0" xfId="0" applyFont="1" applyFill="1" applyAlignment="1">
      <alignment horizontal="center" vertical="center" shrinkToFit="1"/>
    </xf>
    <xf numFmtId="0" fontId="23" fillId="5" borderId="12" xfId="0" applyFont="1" applyFill="1" applyBorder="1" applyAlignment="1">
      <alignment horizontal="center" vertical="center" shrinkToFit="1"/>
    </xf>
    <xf numFmtId="0" fontId="23" fillId="5" borderId="13" xfId="0" applyFont="1" applyFill="1" applyBorder="1" applyAlignment="1">
      <alignment horizontal="center" vertical="center" shrinkToFit="1"/>
    </xf>
    <xf numFmtId="164" fontId="14" fillId="3" borderId="31" xfId="0" applyNumberFormat="1" applyFont="1" applyFill="1" applyBorder="1" applyAlignment="1">
      <alignment horizontal="center" vertical="center" shrinkToFit="1"/>
    </xf>
    <xf numFmtId="0" fontId="14" fillId="3" borderId="31" xfId="1" applyFont="1" applyFill="1" applyBorder="1" applyAlignment="1">
      <alignment horizontal="right" vertical="center" shrinkToFit="1"/>
    </xf>
    <xf numFmtId="0" fontId="28" fillId="12" borderId="19" xfId="1" applyFont="1" applyFill="1" applyBorder="1" applyAlignment="1" applyProtection="1">
      <alignment horizontal="center" vertical="center" shrinkToFit="1"/>
      <protection locked="0"/>
    </xf>
    <xf numFmtId="1" fontId="9" fillId="6" borderId="43" xfId="0" applyNumberFormat="1" applyFont="1" applyFill="1" applyBorder="1" applyAlignment="1">
      <alignment horizontal="center" vertical="center" shrinkToFit="1"/>
    </xf>
    <xf numFmtId="1" fontId="9" fillId="6" borderId="2" xfId="0" applyNumberFormat="1" applyFont="1" applyFill="1" applyBorder="1" applyAlignment="1">
      <alignment horizontal="center" vertical="center" shrinkToFit="1"/>
    </xf>
    <xf numFmtId="2" fontId="9" fillId="7" borderId="50" xfId="0" applyNumberFormat="1" applyFont="1" applyFill="1" applyBorder="1" applyAlignment="1">
      <alignment horizontal="center" vertical="center" shrinkToFit="1"/>
    </xf>
    <xf numFmtId="2" fontId="9" fillId="7" borderId="51" xfId="0" applyNumberFormat="1" applyFont="1" applyFill="1" applyBorder="1" applyAlignment="1">
      <alignment horizontal="center" vertical="center" shrinkToFit="1"/>
    </xf>
    <xf numFmtId="2" fontId="9" fillId="6" borderId="43" xfId="0" applyNumberFormat="1" applyFont="1" applyFill="1" applyBorder="1" applyAlignment="1">
      <alignment horizontal="center" vertical="center" shrinkToFit="1"/>
    </xf>
    <xf numFmtId="2" fontId="9" fillId="6" borderId="44" xfId="0" applyNumberFormat="1" applyFont="1" applyFill="1" applyBorder="1" applyAlignment="1">
      <alignment horizontal="center" vertical="center" shrinkToFit="1"/>
    </xf>
    <xf numFmtId="2" fontId="9" fillId="6" borderId="2" xfId="0" applyNumberFormat="1" applyFont="1" applyFill="1" applyBorder="1" applyAlignment="1">
      <alignment horizontal="center" vertical="center" shrinkToFit="1"/>
    </xf>
    <xf numFmtId="2" fontId="9" fillId="6" borderId="4" xfId="0" applyNumberFormat="1" applyFont="1" applyFill="1" applyBorder="1" applyAlignment="1">
      <alignment horizontal="center" vertical="center" shrinkToFit="1"/>
    </xf>
    <xf numFmtId="166" fontId="10" fillId="8" borderId="45" xfId="0" applyNumberFormat="1" applyFont="1" applyFill="1" applyBorder="1" applyAlignment="1">
      <alignment horizontal="center" vertical="center" shrinkToFit="1"/>
    </xf>
    <xf numFmtId="166" fontId="10" fillId="8" borderId="43" xfId="0" applyNumberFormat="1" applyFont="1" applyFill="1" applyBorder="1" applyAlignment="1">
      <alignment horizontal="center" vertical="center" shrinkToFit="1"/>
    </xf>
    <xf numFmtId="166" fontId="10" fillId="8" borderId="1" xfId="0" applyNumberFormat="1" applyFont="1" applyFill="1" applyBorder="1" applyAlignment="1">
      <alignment horizontal="center" vertical="center" shrinkToFit="1"/>
    </xf>
    <xf numFmtId="166" fontId="10" fillId="8" borderId="0" xfId="0" applyNumberFormat="1" applyFont="1" applyFill="1" applyAlignment="1">
      <alignment horizontal="center" vertical="center" shrinkToFit="1"/>
    </xf>
    <xf numFmtId="164" fontId="22" fillId="2" borderId="0" xfId="1" applyNumberFormat="1" applyFont="1" applyFill="1" applyAlignment="1">
      <alignment horizontal="left" vertical="center" shrinkToFit="1"/>
    </xf>
    <xf numFmtId="0" fontId="23" fillId="5" borderId="20" xfId="0" applyFont="1" applyFill="1" applyBorder="1" applyAlignment="1">
      <alignment horizontal="center" vertical="center" shrinkToFit="1"/>
    </xf>
    <xf numFmtId="0" fontId="23" fillId="5" borderId="3" xfId="0" applyFont="1" applyFill="1" applyBorder="1" applyAlignment="1">
      <alignment horizontal="center" vertical="center" shrinkToFit="1"/>
    </xf>
    <xf numFmtId="0" fontId="8" fillId="5" borderId="15" xfId="0" applyFont="1" applyFill="1" applyBorder="1" applyAlignment="1">
      <alignment horizontal="center" shrinkToFit="1"/>
    </xf>
    <xf numFmtId="0" fontId="8" fillId="5" borderId="17" xfId="0" applyFont="1" applyFill="1" applyBorder="1" applyAlignment="1">
      <alignment horizontal="center" shrinkToFit="1"/>
    </xf>
    <xf numFmtId="0" fontId="14" fillId="11" borderId="13" xfId="1" applyFont="1" applyFill="1" applyBorder="1" applyAlignment="1">
      <alignment horizontal="center" vertical="center" shrinkToFit="1"/>
    </xf>
    <xf numFmtId="164" fontId="27" fillId="13" borderId="27" xfId="1" applyNumberFormat="1" applyFont="1" applyFill="1" applyBorder="1" applyAlignment="1">
      <alignment horizontal="center" vertical="center" shrinkToFit="1"/>
    </xf>
    <xf numFmtId="164" fontId="27" fillId="13" borderId="28" xfId="1" applyNumberFormat="1" applyFont="1" applyFill="1" applyBorder="1" applyAlignment="1">
      <alignment horizontal="center" vertical="center" shrinkToFit="1"/>
    </xf>
    <xf numFmtId="164" fontId="27" fillId="13" borderId="0" xfId="1" applyNumberFormat="1" applyFont="1" applyFill="1" applyAlignment="1">
      <alignment horizontal="center" vertical="center" shrinkToFit="1"/>
    </xf>
    <xf numFmtId="164" fontId="27" fillId="13" borderId="26" xfId="1" applyNumberFormat="1" applyFont="1" applyFill="1" applyBorder="1" applyAlignment="1">
      <alignment horizontal="center" vertical="center" shrinkToFit="1"/>
    </xf>
    <xf numFmtId="164" fontId="27" fillId="13" borderId="24" xfId="1" applyNumberFormat="1" applyFont="1" applyFill="1" applyBorder="1" applyAlignment="1">
      <alignment horizontal="center" vertical="center" shrinkToFit="1"/>
    </xf>
    <xf numFmtId="164" fontId="27" fillId="13" borderId="29" xfId="1" applyNumberFormat="1" applyFont="1" applyFill="1" applyBorder="1" applyAlignment="1">
      <alignment horizontal="center" vertical="center" shrinkToFit="1"/>
    </xf>
    <xf numFmtId="164" fontId="14" fillId="11" borderId="13" xfId="0" applyNumberFormat="1" applyFont="1" applyFill="1" applyBorder="1" applyAlignment="1">
      <alignment horizontal="left" vertical="center" shrinkToFit="1"/>
    </xf>
    <xf numFmtId="164" fontId="14" fillId="11" borderId="52" xfId="0" applyNumberFormat="1" applyFont="1" applyFill="1" applyBorder="1" applyAlignment="1">
      <alignment horizontal="left" vertical="center" shrinkToFit="1"/>
    </xf>
    <xf numFmtId="164" fontId="14" fillId="11" borderId="13" xfId="1" applyNumberFormat="1" applyFont="1" applyFill="1" applyBorder="1" applyAlignment="1">
      <alignment horizontal="left" vertical="center" shrinkToFit="1"/>
    </xf>
    <xf numFmtId="164" fontId="14" fillId="11" borderId="13" xfId="0" applyNumberFormat="1" applyFont="1" applyFill="1" applyBorder="1" applyAlignment="1">
      <alignment horizontal="center" vertical="center" shrinkToFit="1"/>
    </xf>
    <xf numFmtId="0" fontId="16" fillId="3" borderId="0" xfId="0" applyFont="1" applyFill="1" applyAlignment="1">
      <alignment horizontal="center" shrinkToFit="1"/>
    </xf>
    <xf numFmtId="0" fontId="14" fillId="11" borderId="13" xfId="1" applyFont="1" applyFill="1" applyBorder="1" applyAlignment="1">
      <alignment horizontal="right" vertical="center" shrinkToFit="1"/>
    </xf>
    <xf numFmtId="2" fontId="9" fillId="6" borderId="48" xfId="0" applyNumberFormat="1" applyFont="1" applyFill="1" applyBorder="1" applyAlignment="1">
      <alignment horizontal="center" vertical="center" shrinkToFit="1"/>
    </xf>
    <xf numFmtId="2" fontId="9" fillId="6" borderId="49" xfId="0" applyNumberFormat="1" applyFont="1" applyFill="1" applyBorder="1" applyAlignment="1">
      <alignment horizontal="center" vertical="center" shrinkToFit="1"/>
    </xf>
    <xf numFmtId="0" fontId="27" fillId="13" borderId="27" xfId="1" applyFont="1" applyFill="1" applyBorder="1" applyAlignment="1">
      <alignment horizontal="center" vertical="center" shrinkToFit="1"/>
    </xf>
    <xf numFmtId="0" fontId="27" fillId="13" borderId="0" xfId="1" applyFont="1" applyFill="1" applyAlignment="1">
      <alignment horizontal="center" vertical="center" shrinkToFit="1"/>
    </xf>
    <xf numFmtId="0" fontId="27" fillId="13" borderId="24" xfId="1" applyFont="1" applyFill="1" applyBorder="1" applyAlignment="1">
      <alignment horizontal="center" vertical="center" shrinkToFit="1"/>
    </xf>
    <xf numFmtId="1" fontId="9" fillId="7" borderId="3" xfId="0" applyNumberFormat="1" applyFont="1" applyFill="1" applyBorder="1" applyAlignment="1">
      <alignment horizontal="center" vertical="center" shrinkToFit="1"/>
    </xf>
    <xf numFmtId="1" fontId="9" fillId="7" borderId="46" xfId="0" applyNumberFormat="1" applyFont="1" applyFill="1" applyBorder="1" applyAlignment="1">
      <alignment horizontal="center" vertical="center" shrinkToFit="1"/>
    </xf>
    <xf numFmtId="2" fontId="9" fillId="7" borderId="3" xfId="0" applyNumberFormat="1" applyFont="1" applyFill="1" applyBorder="1" applyAlignment="1">
      <alignment horizontal="center" vertical="center" shrinkToFit="1"/>
    </xf>
    <xf numFmtId="2" fontId="9" fillId="7" borderId="46" xfId="0" applyNumberFormat="1" applyFont="1" applyFill="1" applyBorder="1" applyAlignment="1">
      <alignment horizontal="center" vertical="center" shrinkToFit="1"/>
    </xf>
    <xf numFmtId="2" fontId="11" fillId="9" borderId="1" xfId="0" applyNumberFormat="1" applyFont="1" applyFill="1" applyBorder="1" applyAlignment="1">
      <alignment horizontal="center" vertical="center" shrinkToFit="1"/>
    </xf>
    <xf numFmtId="2" fontId="11" fillId="9" borderId="0" xfId="0" applyNumberFormat="1" applyFont="1" applyFill="1" applyAlignment="1">
      <alignment horizontal="center" vertical="center" shrinkToFit="1"/>
    </xf>
    <xf numFmtId="2" fontId="11" fillId="9" borderId="47" xfId="0" applyNumberFormat="1" applyFont="1" applyFill="1" applyBorder="1" applyAlignment="1">
      <alignment horizontal="center" vertical="center" shrinkToFit="1"/>
    </xf>
    <xf numFmtId="2" fontId="11" fillId="9" borderId="46" xfId="0" applyNumberFormat="1" applyFont="1" applyFill="1" applyBorder="1" applyAlignment="1">
      <alignment horizontal="center" vertical="center" shrinkToFit="1"/>
    </xf>
    <xf numFmtId="165" fontId="11" fillId="9" borderId="0" xfId="0" applyNumberFormat="1" applyFont="1" applyFill="1" applyAlignment="1">
      <alignment horizontal="center" vertical="center" shrinkToFit="1"/>
    </xf>
    <xf numFmtId="165" fontId="11" fillId="9" borderId="46" xfId="0" applyNumberFormat="1" applyFont="1" applyFill="1" applyBorder="1" applyAlignment="1">
      <alignment horizontal="center" vertical="center" shrinkToFit="1"/>
    </xf>
    <xf numFmtId="0" fontId="27" fillId="12" borderId="0" xfId="1" applyFont="1" applyFill="1" applyAlignment="1">
      <alignment horizontal="center" vertical="center" shrinkToFit="1"/>
    </xf>
    <xf numFmtId="0" fontId="27" fillId="12" borderId="34" xfId="1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right"/>
    </xf>
    <xf numFmtId="166" fontId="5" fillId="2" borderId="0" xfId="0" applyNumberFormat="1" applyFont="1" applyFill="1"/>
    <xf numFmtId="2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quotePrefix="1" applyFill="1"/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ContractData</stp>
        <stp>ZSES5N25</stp>
        <stp>Low</stp>
        <stp/>
        <stp>T</stp>
        <tr r="E97" s="2"/>
      </tp>
      <tp t="s">
        <v/>
        <stp/>
        <stp>ContractData</stp>
        <stp>ZSES5N26</stp>
        <stp>Low</stp>
        <stp/>
        <stp>T</stp>
        <tr r="E104" s="2"/>
      </tp>
      <tp>
        <v>-18</v>
        <stp/>
        <stp>ContractData</stp>
        <stp>ZSES5F25</stp>
        <stp>Ask</stp>
        <stp/>
        <stp>T</stp>
        <tr r="L91" s="2"/>
        <tr r="L91" s="2"/>
      </tp>
      <tp>
        <v>31.5</v>
        <stp/>
        <stp>ContractData</stp>
        <stp>ZSES5F26</stp>
        <stp>Ask</stp>
        <stp/>
        <stp>T</stp>
        <tr r="S91" s="2"/>
        <tr r="S91" s="2"/>
      </tp>
      <tp>
        <v>-3.25</v>
        <stp/>
        <stp>ContractData</stp>
        <stp>ZSES5K25</stp>
        <stp>Low</stp>
        <stp/>
        <stp>T</stp>
        <tr r="E96" s="2"/>
      </tp>
      <tp t="s">
        <v/>
        <stp/>
        <stp>ContractData</stp>
        <stp>ZSES5K26</stp>
        <stp>Low</stp>
        <stp/>
        <stp>T</stp>
        <tr r="E103" s="2"/>
      </tp>
      <tp>
        <v>-7.5</v>
        <stp/>
        <stp>ContractData</stp>
        <stp>ZSES5H25</stp>
        <stp>Low</stp>
        <stp/>
        <stp>T</stp>
        <tr r="E95" s="2"/>
      </tp>
      <tp t="s">
        <v/>
        <stp/>
        <stp>ContractData</stp>
        <stp>ZSES5H26</stp>
        <stp>Low</stp>
        <stp/>
        <stp>T</stp>
        <tr r="E102" s="2"/>
      </tp>
      <tp t="s">
        <v/>
        <stp/>
        <stp>ContractData</stp>
        <stp>ZSES5F26</stp>
        <stp>Bid</stp>
        <stp/>
        <stp>T</stp>
        <tr r="S92" s="2"/>
      </tp>
      <tp>
        <v>-18.5</v>
        <stp/>
        <stp>ContractData</stp>
        <stp>ZSES5F25</stp>
        <stp>Bid</stp>
        <stp/>
        <stp>T</stp>
        <tr r="L92" s="2"/>
        <tr r="L92" s="2"/>
      </tp>
      <tp>
        <v>0</v>
        <stp/>
        <stp>ContractData</stp>
        <stp>ZSES5K25</stp>
        <stp>Ask</stp>
        <stp/>
        <stp>T</stp>
        <tr r="N91" s="2"/>
        <tr r="N91" s="2"/>
      </tp>
      <tp t="s">
        <v/>
        <stp/>
        <stp>ContractData</stp>
        <stp>ZSES5K26</stp>
        <stp>Ask</stp>
        <stp/>
        <stp>T</stp>
        <tr r="U91" s="2"/>
      </tp>
      <tp>
        <v>-19.25</v>
        <stp/>
        <stp>ContractData</stp>
        <stp>ZSES5F25</stp>
        <stp>Low</stp>
        <stp/>
        <stp>T</stp>
        <tr r="E94" s="2"/>
      </tp>
      <tp t="s">
        <v/>
        <stp/>
        <stp>ContractData</stp>
        <stp>ZSES5F26</stp>
        <stp>Low</stp>
        <stp/>
        <stp>T</stp>
        <tr r="E101" s="2"/>
      </tp>
      <tp>
        <v>0.25</v>
        <stp/>
        <stp>ContractData</stp>
        <stp>ZSES5H26</stp>
        <stp>Bid</stp>
        <stp/>
        <stp>T</stp>
        <tr r="T92" s="2"/>
        <tr r="T92" s="2"/>
      </tp>
      <tp>
        <v>-4.25</v>
        <stp/>
        <stp>ContractData</stp>
        <stp>ZSES5H25</stp>
        <stp>Bid</stp>
        <stp/>
        <stp>T</stp>
        <tr r="M92" s="2"/>
        <tr r="M92" s="2"/>
      </tp>
      <tp>
        <v>-3.75</v>
        <stp/>
        <stp>ContractData</stp>
        <stp>ZSES5H25</stp>
        <stp>Ask</stp>
        <stp/>
        <stp>T</stp>
        <tr r="M91" s="2"/>
        <tr r="M91" s="2"/>
      </tp>
      <tp>
        <v>8</v>
        <stp/>
        <stp>ContractData</stp>
        <stp>ZSES5H26</stp>
        <stp>Ask</stp>
        <stp/>
        <stp>T</stp>
        <tr r="T91" s="2"/>
        <tr r="T91" s="2"/>
      </tp>
      <tp t="s">
        <v/>
        <stp/>
        <stp>ContractData</stp>
        <stp>ZSES5K26</stp>
        <stp>Bid</stp>
        <stp/>
        <stp>T</stp>
        <tr r="U92" s="2"/>
      </tp>
      <tp>
        <v>-1.25</v>
        <stp/>
        <stp>ContractData</stp>
        <stp>ZSES5K25</stp>
        <stp>Bid</stp>
        <stp/>
        <stp>T</stp>
        <tr r="N92" s="2"/>
        <tr r="N92" s="2"/>
      </tp>
      <tp>
        <v>11.5</v>
        <stp/>
        <stp>ContractData</stp>
        <stp>ZSES5N25</stp>
        <stp>Ask</stp>
        <stp/>
        <stp>T</stp>
        <tr r="O91" s="2"/>
        <tr r="O91" s="2"/>
      </tp>
      <tp t="s">
        <v/>
        <stp/>
        <stp>ContractData</stp>
        <stp>ZSES5N26</stp>
        <stp>Ask</stp>
        <stp/>
        <stp>T</stp>
        <tr r="V91" s="2"/>
      </tp>
      <tp t="s">
        <v/>
        <stp/>
        <stp>ContractData</stp>
        <stp>ZSES5N26</stp>
        <stp>Bid</stp>
        <stp/>
        <stp>T</stp>
        <tr r="V92" s="2"/>
      </tp>
      <tp>
        <v>10</v>
        <stp/>
        <stp>ContractData</stp>
        <stp>ZSES5N25</stp>
        <stp>Bid</stp>
        <stp/>
        <stp>T</stp>
        <tr r="O92" s="2"/>
        <tr r="O92" s="2"/>
      </tp>
      <tp>
        <v>2</v>
        <stp/>
        <stp>ContractData</stp>
        <stp>ZSES5Q25</stp>
        <stp>Bid</stp>
        <stp/>
        <stp>T</stp>
        <tr r="P92" s="2"/>
        <tr r="P92" s="2"/>
      </tp>
      <tp>
        <v>4.5</v>
        <stp/>
        <stp>ContractData</stp>
        <stp>ZSES5Q25</stp>
        <stp>Ask</stp>
        <stp/>
        <stp>T</stp>
        <tr r="P91" s="2"/>
        <tr r="P91" s="2"/>
      </tp>
      <tp>
        <v>-20.5</v>
        <stp/>
        <stp>ContractData</stp>
        <stp>ZSES5U25</stp>
        <stp>Bid</stp>
        <stp/>
        <stp>T</stp>
        <tr r="Q92" s="2"/>
        <tr r="Q92" s="2"/>
      </tp>
      <tp>
        <v>-18</v>
        <stp/>
        <stp>ContractData</stp>
        <stp>ZSES5U25</stp>
        <stp>Ask</stp>
        <stp/>
        <stp>T</stp>
        <tr r="Q91" s="2"/>
        <tr r="Q91" s="2"/>
      </tp>
      <tp t="s">
        <v/>
        <stp/>
        <stp>ContractData</stp>
        <stp>ZSES5X24</stp>
        <stp>Low</stp>
        <stp/>
        <stp>T</stp>
        <tr r="E93" s="2"/>
      </tp>
      <tp t="s">
        <v/>
        <stp/>
        <stp>ContractData</stp>
        <stp>ZSES5X25</stp>
        <stp>Low</stp>
        <stp/>
        <stp>T</stp>
        <tr r="E100" s="2"/>
      </tp>
      <tp t="s">
        <v/>
        <stp/>
        <stp>ContractData</stp>
        <stp>ZSES5X25</stp>
        <stp>Bid</stp>
        <stp/>
        <stp>T</stp>
        <tr r="R92" s="2"/>
      </tp>
      <tp>
        <v>-50.5</v>
        <stp/>
        <stp>ContractData</stp>
        <stp>ZSES5X24</stp>
        <stp>Bid</stp>
        <stp/>
        <stp>T</stp>
        <tr r="K92" s="2"/>
        <tr r="K92" s="2"/>
      </tp>
      <tp>
        <v>-43.5</v>
        <stp/>
        <stp>ContractData</stp>
        <stp>ZSES5X24</stp>
        <stp>Ask</stp>
        <stp/>
        <stp>T</stp>
        <tr r="K91" s="2"/>
        <tr r="K91" s="2"/>
      </tp>
      <tp t="s">
        <v/>
        <stp/>
        <stp>ContractData</stp>
        <stp>ZSES5X25</stp>
        <stp>Ask</stp>
        <stp/>
        <stp>T</stp>
        <tr r="R91" s="2"/>
      </tp>
      <tp t="s">
        <v/>
        <stp/>
        <stp>ContractData</stp>
        <stp>ZSES5U25</stp>
        <stp>Low</stp>
        <stp/>
        <stp>T</stp>
        <tr r="E99" s="2"/>
      </tp>
      <tp t="s">
        <v/>
        <stp/>
        <stp>ContractData</stp>
        <stp>ZSES5Q25</stp>
        <stp>Low</stp>
        <stp/>
        <stp>T</stp>
        <tr r="E98" s="2"/>
      </tp>
      <tp>
        <v>-8.25</v>
        <stp/>
        <stp>ContractData</stp>
        <stp>ZSES2K25</stp>
        <stp>High</stp>
        <stp/>
        <stp>T</stp>
        <tr r="D48" s="2"/>
      </tp>
      <tp>
        <v>7.75</v>
        <stp/>
        <stp>ContractData</stp>
        <stp>ZSES3K25</stp>
        <stp>High</stp>
        <stp/>
        <stp>T</stp>
        <tr r="D64" s="2"/>
      </tp>
      <tp>
        <v>-10.75</v>
        <stp/>
        <stp>ContractData</stp>
        <stp>ZSES1K25</stp>
        <stp>High</stp>
        <stp/>
        <stp>T</stp>
        <tr r="D32" s="2"/>
      </tp>
      <tp>
        <v>-2.5</v>
        <stp/>
        <stp>ContractData</stp>
        <stp>ZSES6K25</stp>
        <stp>High</stp>
        <stp/>
        <stp>T</stp>
        <tr r="D112" s="2"/>
      </tp>
      <tp>
        <v>11.75</v>
        <stp/>
        <stp>ContractData</stp>
        <stp>ZSES4K25</stp>
        <stp>High</stp>
        <stp/>
        <stp>T</stp>
        <tr r="D80" s="2"/>
      </tp>
      <tp>
        <v>1.5</v>
        <stp/>
        <stp>ContractData</stp>
        <stp>ZSES5K25</stp>
        <stp>High</stp>
        <stp/>
        <stp>T</stp>
        <tr r="D96" s="2"/>
      </tp>
      <tp t="s">
        <v/>
        <stp/>
        <stp>ContractData</stp>
        <stp>ZSES2K26</stp>
        <stp>High</stp>
        <stp/>
        <stp>T</stp>
        <tr r="D55" s="2"/>
      </tp>
      <tp t="s">
        <v/>
        <stp/>
        <stp>ContractData</stp>
        <stp>ZSES3K26</stp>
        <stp>High</stp>
        <stp/>
        <stp>T</stp>
        <tr r="D71" s="2"/>
      </tp>
      <tp>
        <v>-7.5</v>
        <stp/>
        <stp>ContractData</stp>
        <stp>ZSES1K26</stp>
        <stp>High</stp>
        <stp/>
        <stp>T</stp>
        <tr r="D39" s="2"/>
      </tp>
      <tp t="s">
        <v/>
        <stp/>
        <stp>ContractData</stp>
        <stp>ZSES6K26</stp>
        <stp>High</stp>
        <stp/>
        <stp>T</stp>
        <tr r="D119" s="2"/>
      </tp>
      <tp t="s">
        <v/>
        <stp/>
        <stp>ContractData</stp>
        <stp>ZSES4K26</stp>
        <stp>High</stp>
        <stp/>
        <stp>T</stp>
        <tr r="D87" s="2"/>
      </tp>
      <tp t="s">
        <v/>
        <stp/>
        <stp>ContractData</stp>
        <stp>ZSES5K26</stp>
        <stp>High</stp>
        <stp/>
        <stp>T</stp>
        <tr r="D103" s="2"/>
      </tp>
      <tp t="s">
        <v/>
        <stp/>
        <stp>ContractData</stp>
        <stp>ZSES4N25</stp>
        <stp>Low</stp>
        <stp/>
        <stp>T</stp>
        <tr r="E81" s="2"/>
      </tp>
      <tp t="s">
        <v/>
        <stp/>
        <stp>ContractData</stp>
        <stp>ZSES4N26</stp>
        <stp>Low</stp>
        <stp/>
        <stp>T</stp>
        <tr r="E88" s="2"/>
      </tp>
      <tp>
        <v>-33</v>
        <stp/>
        <stp>ContractData</stp>
        <stp>ZSES4F25</stp>
        <stp>Ask</stp>
        <stp/>
        <stp>T</stp>
        <tr r="L75" s="2"/>
        <tr r="L75" s="2"/>
      </tp>
      <tp t="s">
        <v/>
        <stp/>
        <stp>ContractData</stp>
        <stp>ZSES4F26</stp>
        <stp>Ask</stp>
        <stp/>
        <stp>T</stp>
        <tr r="S75" s="2"/>
      </tp>
      <tp>
        <v>5.5</v>
        <stp/>
        <stp>ContractData</stp>
        <stp>ZSES4K25</stp>
        <stp>Low</stp>
        <stp/>
        <stp>T</stp>
        <tr r="E80" s="2"/>
      </tp>
      <tp t="s">
        <v/>
        <stp/>
        <stp>ContractData</stp>
        <stp>ZSES4K26</stp>
        <stp>Low</stp>
        <stp/>
        <stp>T</stp>
        <tr r="E87" s="2"/>
      </tp>
      <tp>
        <v>-7</v>
        <stp/>
        <stp>ContractData</stp>
        <stp>ZSES4H25</stp>
        <stp>Low</stp>
        <stp/>
        <stp>T</stp>
        <tr r="E79" s="2"/>
      </tp>
      <tp t="s">
        <v/>
        <stp/>
        <stp>ContractData</stp>
        <stp>ZSES4H26</stp>
        <stp>Low</stp>
        <stp/>
        <stp>T</stp>
        <tr r="E86" s="2"/>
      </tp>
      <tp t="s">
        <v/>
        <stp/>
        <stp>ContractData</stp>
        <stp>ZSES4F26</stp>
        <stp>Bid</stp>
        <stp/>
        <stp>T</stp>
        <tr r="S76" s="2"/>
      </tp>
      <tp>
        <v>-33.5</v>
        <stp/>
        <stp>ContractData</stp>
        <stp>ZSES4F25</stp>
        <stp>Bid</stp>
        <stp/>
        <stp>T</stp>
        <tr r="L76" s="2"/>
        <tr r="L76" s="2"/>
      </tp>
      <tp>
        <v>8.75</v>
        <stp/>
        <stp>ContractData</stp>
        <stp>ZSES4K25</stp>
        <stp>Ask</stp>
        <stp/>
        <stp>T</stp>
        <tr r="N75" s="2"/>
        <tr r="N75" s="2"/>
      </tp>
      <tp>
        <v>13.75</v>
        <stp/>
        <stp>ContractData</stp>
        <stp>ZSES4K26</stp>
        <stp>Ask</stp>
        <stp/>
        <stp>T</stp>
        <tr r="U75" s="2"/>
        <tr r="U75" s="2"/>
      </tp>
      <tp>
        <v>-36</v>
        <stp/>
        <stp>ContractData</stp>
        <stp>ZSES4F25</stp>
        <stp>Low</stp>
        <stp/>
        <stp>T</stp>
        <tr r="E78" s="2"/>
      </tp>
      <tp t="s">
        <v/>
        <stp/>
        <stp>ContractData</stp>
        <stp>ZSES4F26</stp>
        <stp>Low</stp>
        <stp/>
        <stp>T</stp>
        <tr r="E85" s="2"/>
      </tp>
      <tp>
        <v>-12.25</v>
        <stp/>
        <stp>ContractData</stp>
        <stp>F.ZSE?12</stp>
        <stp>NetLastQuoteToday</stp>
        <stp/>
        <stp>T</stp>
        <tr r="U13" s="6"/>
        <tr r="U13" s="7"/>
        <tr r="U13" s="10"/>
        <tr r="U13" s="11"/>
        <tr r="U13" s="9"/>
        <tr r="U13" s="8"/>
      </tp>
      <tp t="s">
        <v/>
        <stp/>
        <stp>ContractData</stp>
        <stp>ZSES4H26</stp>
        <stp>Bid</stp>
        <stp/>
        <stp>T</stp>
        <tr r="T76" s="2"/>
      </tp>
      <tp>
        <v>-6.75</v>
        <stp/>
        <stp>ContractData</stp>
        <stp>ZSES4H25</stp>
        <stp>Bid</stp>
        <stp/>
        <stp>T</stp>
        <tr r="M76" s="2"/>
        <tr r="M76" s="2"/>
      </tp>
      <tp>
        <v>-9.5</v>
        <stp/>
        <stp>ContractData</stp>
        <stp>F.ZSE?10</stp>
        <stp>NetLastQuoteToday</stp>
        <stp/>
        <stp>T</stp>
        <tr r="U11" s="10"/>
        <tr r="U11" s="7"/>
        <tr r="U11" s="11"/>
        <tr r="U11" s="9"/>
        <tr r="U11" s="8"/>
        <tr r="U11" s="6"/>
      </tp>
      <tp>
        <v>-6.25</v>
        <stp/>
        <stp>ContractData</stp>
        <stp>ZSES4H25</stp>
        <stp>Ask</stp>
        <stp/>
        <stp>T</stp>
        <tr r="M75" s="2"/>
        <tr r="M75" s="2"/>
      </tp>
      <tp>
        <v>31.25</v>
        <stp/>
        <stp>ContractData</stp>
        <stp>ZSES4H26</stp>
        <stp>Ask</stp>
        <stp/>
        <stp>T</stp>
        <tr r="T75" s="2"/>
        <tr r="T75" s="2"/>
      </tp>
      <tp>
        <v>-10</v>
        <stp/>
        <stp>ContractData</stp>
        <stp>F.ZSE?11</stp>
        <stp>NetLastQuoteToday</stp>
        <stp/>
        <stp>T</stp>
        <tr r="U12" s="7"/>
        <tr r="U12" s="6"/>
        <tr r="U12" s="8"/>
        <tr r="U12" s="9"/>
        <tr r="U12" s="11"/>
        <tr r="U12" s="10"/>
      </tp>
      <tp>
        <v>5.25</v>
        <stp/>
        <stp>ContractData</stp>
        <stp>ZSES4K26</stp>
        <stp>Bid</stp>
        <stp/>
        <stp>T</stp>
        <tr r="U76" s="2"/>
        <tr r="U76" s="2"/>
      </tp>
      <tp>
        <v>8.25</v>
        <stp/>
        <stp>ContractData</stp>
        <stp>ZSES4K25</stp>
        <stp>Bid</stp>
        <stp/>
        <stp>T</stp>
        <tr r="N76" s="2"/>
        <tr r="N76" s="2"/>
      </tp>
      <tp>
        <v>11</v>
        <stp/>
        <stp>ContractData</stp>
        <stp>ZSES4N25</stp>
        <stp>Ask</stp>
        <stp/>
        <stp>T</stp>
        <tr r="O75" s="2"/>
        <tr r="O75" s="2"/>
      </tp>
      <tp t="s">
        <v/>
        <stp/>
        <stp>ContractData</stp>
        <stp>ZSES4N26</stp>
        <stp>Ask</stp>
        <stp/>
        <stp>T</stp>
        <tr r="V75" s="2"/>
      </tp>
      <tp t="s">
        <v/>
        <stp/>
        <stp>ContractData</stp>
        <stp>ZSES4N26</stp>
        <stp>Bid</stp>
        <stp/>
        <stp>T</stp>
        <tr r="V76" s="2"/>
      </tp>
      <tp>
        <v>9.75</v>
        <stp/>
        <stp>ContractData</stp>
        <stp>ZSES4N25</stp>
        <stp>Bid</stp>
        <stp/>
        <stp>T</stp>
        <tr r="O76" s="2"/>
        <tr r="O76" s="2"/>
      </tp>
      <tp>
        <v>7.75</v>
        <stp/>
        <stp>ContractData</stp>
        <stp>ZSES4Q25</stp>
        <stp>Bid</stp>
        <stp/>
        <stp>T</stp>
        <tr r="P76" s="2"/>
        <tr r="P76" s="2"/>
      </tp>
      <tp>
        <v>9.5</v>
        <stp/>
        <stp>ContractData</stp>
        <stp>ZSES4Q25</stp>
        <stp>Ask</stp>
        <stp/>
        <stp>T</stp>
        <tr r="P75" s="2"/>
        <tr r="P75" s="2"/>
      </tp>
      <tp>
        <v>-13</v>
        <stp/>
        <stp>ContractData</stp>
        <stp>ZSES4U25</stp>
        <stp>Bid</stp>
        <stp/>
        <stp>T</stp>
        <tr r="Q76" s="2"/>
        <tr r="Q76" s="2"/>
      </tp>
      <tp>
        <v>-10.75</v>
        <stp/>
        <stp>ContractData</stp>
        <stp>ZSES4U25</stp>
        <stp>Ask</stp>
        <stp/>
        <stp>T</stp>
        <tr r="Q75" s="2"/>
        <tr r="Q75" s="2"/>
      </tp>
      <tp t="s">
        <v/>
        <stp/>
        <stp>ContractData</stp>
        <stp>ZSES4X24</stp>
        <stp>Low</stp>
        <stp/>
        <stp>T</stp>
        <tr r="E77" s="2"/>
      </tp>
      <tp>
        <v>-22.5</v>
        <stp/>
        <stp>ContractData</stp>
        <stp>ZSES4X25</stp>
        <stp>Low</stp>
        <stp/>
        <stp>T</stp>
        <tr r="E84" s="2"/>
      </tp>
      <tp>
        <v>-22.25</v>
        <stp/>
        <stp>ContractData</stp>
        <stp>ZSES4X25</stp>
        <stp>Bid</stp>
        <stp/>
        <stp>T</stp>
        <tr r="R76" s="2"/>
        <tr r="R76" s="2"/>
      </tp>
      <tp>
        <v>-52.5</v>
        <stp/>
        <stp>ContractData</stp>
        <stp>ZSES4X24</stp>
        <stp>Bid</stp>
        <stp/>
        <stp>T</stp>
        <tr r="K76" s="2"/>
        <tr r="K76" s="2"/>
      </tp>
      <tp>
        <v>-45.75</v>
        <stp/>
        <stp>ContractData</stp>
        <stp>ZSES4X24</stp>
        <stp>Ask</stp>
        <stp/>
        <stp>T</stp>
        <tr r="K75" s="2"/>
        <tr r="K75" s="2"/>
      </tp>
      <tp>
        <v>-20.75</v>
        <stp/>
        <stp>ContractData</stp>
        <stp>ZSES4X25</stp>
        <stp>Ask</stp>
        <stp/>
        <stp>T</stp>
        <tr r="R75" s="2"/>
        <tr r="R75" s="2"/>
      </tp>
      <tp t="s">
        <v/>
        <stp/>
        <stp>ContractData</stp>
        <stp>ZSES4U25</stp>
        <stp>Low</stp>
        <stp/>
        <stp>T</stp>
        <tr r="E83" s="2"/>
      </tp>
      <tp t="s">
        <v/>
        <stp/>
        <stp>ContractData</stp>
        <stp>ZSES4Q25</stp>
        <stp>Low</stp>
        <stp/>
        <stp>T</stp>
        <tr r="E82" s="2"/>
      </tp>
      <tp t="s">
        <v/>
        <stp/>
        <stp>ContractData</stp>
        <stp>ZSES4N26</stp>
        <stp>Open</stp>
        <stp/>
        <stp>T</stp>
        <tr r="C88" s="2"/>
      </tp>
      <tp t="s">
        <v/>
        <stp/>
        <stp>ContractData</stp>
        <stp>ZSES5N26</stp>
        <stp>Open</stp>
        <stp/>
        <stp>T</stp>
        <tr r="C104" s="2"/>
      </tp>
      <tp t="s">
        <v/>
        <stp/>
        <stp>ContractData</stp>
        <stp>ZSES6N26</stp>
        <stp>Open</stp>
        <stp/>
        <stp>T</stp>
        <tr r="C120" s="2"/>
      </tp>
      <tp t="s">
        <v/>
        <stp/>
        <stp>ContractData</stp>
        <stp>ZSES1N26</stp>
        <stp>Open</stp>
        <stp/>
        <stp>T</stp>
        <tr r="C40" s="2"/>
      </tp>
      <tp t="s">
        <v/>
        <stp/>
        <stp>ContractData</stp>
        <stp>ZSES2N26</stp>
        <stp>Open</stp>
        <stp/>
        <stp>T</stp>
        <tr r="C56" s="2"/>
      </tp>
      <tp>
        <v>15</v>
        <stp/>
        <stp>ContractData</stp>
        <stp>ZSES3N26</stp>
        <stp>Open</stp>
        <stp/>
        <stp>T</stp>
        <tr r="C72" s="2"/>
      </tp>
      <tp t="s">
        <v/>
        <stp/>
        <stp>ContractData</stp>
        <stp>ZSES4N25</stp>
        <stp>Open</stp>
        <stp/>
        <stp>T</stp>
        <tr r="C81" s="2"/>
      </tp>
      <tp t="s">
        <v/>
        <stp/>
        <stp>ContractData</stp>
        <stp>ZSES5N25</stp>
        <stp>Open</stp>
        <stp/>
        <stp>T</stp>
        <tr r="C97" s="2"/>
      </tp>
      <tp t="s">
        <v/>
        <stp/>
        <stp>ContractData</stp>
        <stp>ZSES6N25</stp>
        <stp>Open</stp>
        <stp/>
        <stp>T</stp>
        <tr r="C113" s="2"/>
      </tp>
      <tp>
        <v>1.25</v>
        <stp/>
        <stp>ContractData</stp>
        <stp>ZSES1N25</stp>
        <stp>Open</stp>
        <stp/>
        <stp>T</stp>
        <tr r="C33" s="2"/>
      </tp>
      <tp>
        <v>15.25</v>
        <stp/>
        <stp>ContractData</stp>
        <stp>ZSES2N25</stp>
        <stp>Open</stp>
        <stp/>
        <stp>T</stp>
        <tr r="C49" s="2"/>
      </tp>
      <tp>
        <v>16.25</v>
        <stp/>
        <stp>ContractData</stp>
        <stp>ZSES3N25</stp>
        <stp>Open</stp>
        <stp/>
        <stp>T</stp>
        <tr r="C65" s="2"/>
      </tp>
      <tp t="s">
        <v/>
        <stp/>
        <stp>ContractData</stp>
        <stp>ZSES6N25</stp>
        <stp>Low</stp>
        <stp/>
        <stp>T</stp>
        <tr r="E113" s="2"/>
      </tp>
      <tp t="s">
        <v/>
        <stp/>
        <stp>ContractData</stp>
        <stp>ZSES6N26</stp>
        <stp>Low</stp>
        <stp/>
        <stp>T</stp>
        <tr r="E120" s="2"/>
      </tp>
      <tp>
        <v>-15.75</v>
        <stp/>
        <stp>ContractData</stp>
        <stp>ZSES6F25</stp>
        <stp>Ask</stp>
        <stp/>
        <stp>T</stp>
        <tr r="L107" s="2"/>
        <tr r="L107" s="2"/>
      </tp>
      <tp>
        <v>8.25</v>
        <stp/>
        <stp>ContractData</stp>
        <stp>ZSES6F26</stp>
        <stp>Ask</stp>
        <stp/>
        <stp>T</stp>
        <tr r="S107" s="2"/>
        <tr r="S107" s="2"/>
      </tp>
      <tp>
        <v>-2.5</v>
        <stp/>
        <stp>ContractData</stp>
        <stp>ZSES6K25</stp>
        <stp>Low</stp>
        <stp/>
        <stp>T</stp>
        <tr r="E112" s="2"/>
      </tp>
      <tp t="s">
        <v/>
        <stp/>
        <stp>ContractData</stp>
        <stp>ZSES6K26</stp>
        <stp>Low</stp>
        <stp/>
        <stp>T</stp>
        <tr r="E119" s="2"/>
      </tp>
      <tp>
        <v>-11.25</v>
        <stp/>
        <stp>ContractData</stp>
        <stp>ZSES6H25</stp>
        <stp>Low</stp>
        <stp/>
        <stp>T</stp>
        <tr r="E111" s="2"/>
      </tp>
      <tp t="s">
        <v/>
        <stp/>
        <stp>ContractData</stp>
        <stp>ZSES6H26</stp>
        <stp>Low</stp>
        <stp/>
        <stp>T</stp>
        <tr r="E118" s="2"/>
      </tp>
      <tp>
        <v>0.75</v>
        <stp/>
        <stp>ContractData</stp>
        <stp>ZSES6F26</stp>
        <stp>Bid</stp>
        <stp/>
        <stp>T</stp>
        <tr r="S108" s="2"/>
        <tr r="S108" s="2"/>
      </tp>
      <tp>
        <v>-16</v>
        <stp/>
        <stp>ContractData</stp>
        <stp>ZSES6F25</stp>
        <stp>Bid</stp>
        <stp/>
        <stp>T</stp>
        <tr r="L108" s="2"/>
        <tr r="L108" s="2"/>
      </tp>
      <tp>
        <v>0.5</v>
        <stp/>
        <stp>ContractData</stp>
        <stp>ZSES6K25</stp>
        <stp>Ask</stp>
        <stp/>
        <stp>T</stp>
        <tr r="N107" s="2"/>
        <tr r="N107" s="2"/>
      </tp>
      <tp t="s">
        <v/>
        <stp/>
        <stp>ContractData</stp>
        <stp>ZSES6K26</stp>
        <stp>Ask</stp>
        <stp/>
        <stp>T</stp>
        <tr r="U107" s="2"/>
      </tp>
      <tp>
        <v>-20.5</v>
        <stp/>
        <stp>ContractData</stp>
        <stp>ZSES6F25</stp>
        <stp>Low</stp>
        <stp/>
        <stp>T</stp>
        <tr r="E110" s="2"/>
      </tp>
      <tp t="s">
        <v/>
        <stp/>
        <stp>ContractData</stp>
        <stp>ZSES6F26</stp>
        <stp>Low</stp>
        <stp/>
        <stp>T</stp>
        <tr r="E117" s="2"/>
      </tp>
      <tp t="s">
        <v/>
        <stp/>
        <stp>ContractData</stp>
        <stp>ZSES6H26</stp>
        <stp>Bid</stp>
        <stp/>
        <stp>T</stp>
        <tr r="T108" s="2"/>
      </tp>
      <tp>
        <v>-13.75</v>
        <stp/>
        <stp>ContractData</stp>
        <stp>ZSES6H25</stp>
        <stp>Bid</stp>
        <stp/>
        <stp>T</stp>
        <tr r="M108" s="2"/>
        <tr r="M108" s="2"/>
      </tp>
      <tp t="s">
        <v/>
        <stp/>
        <stp>ContractData</stp>
        <stp>ZSES4N26</stp>
        <stp>LastTradeorSettle</stp>
        <stp/>
        <stp>T</stp>
        <tr r="F88" s="2"/>
      </tp>
      <tp t="s">
        <v/>
        <stp/>
        <stp>ContractData</stp>
        <stp>ZSES4K26</stp>
        <stp>LastTradeorSettle</stp>
        <stp/>
        <stp>T</stp>
        <tr r="F87" s="2"/>
      </tp>
      <tp t="s">
        <v/>
        <stp/>
        <stp>ContractData</stp>
        <stp>ZSES4H26</stp>
        <stp>LastTradeorSettle</stp>
        <stp/>
        <stp>T</stp>
        <tr r="F86" s="2"/>
      </tp>
      <tp t="s">
        <v/>
        <stp/>
        <stp>ContractData</stp>
        <stp>ZSES4F26</stp>
        <stp>LastTradeorSettle</stp>
        <stp/>
        <stp>T</stp>
        <tr r="F85" s="2"/>
      </tp>
      <tp t="s">
        <v/>
        <stp/>
        <stp>ContractData</stp>
        <stp>ZSES5N26</stp>
        <stp>LastTradeorSettle</stp>
        <stp/>
        <stp>T</stp>
        <tr r="F104" s="2"/>
      </tp>
      <tp t="s">
        <v/>
        <stp/>
        <stp>ContractData</stp>
        <stp>ZSES5K26</stp>
        <stp>LastTradeorSettle</stp>
        <stp/>
        <stp>T</stp>
        <tr r="F103" s="2"/>
      </tp>
      <tp t="s">
        <v/>
        <stp/>
        <stp>ContractData</stp>
        <stp>ZSES5H26</stp>
        <stp>LastTradeorSettle</stp>
        <stp/>
        <stp>T</stp>
        <tr r="F102" s="2"/>
      </tp>
      <tp t="s">
        <v/>
        <stp/>
        <stp>ContractData</stp>
        <stp>ZSES5F26</stp>
        <stp>LastTradeorSettle</stp>
        <stp/>
        <stp>T</stp>
        <tr r="F101" s="2"/>
      </tp>
      <tp t="s">
        <v/>
        <stp/>
        <stp>ContractData</stp>
        <stp>ZSES6N26</stp>
        <stp>LastTradeorSettle</stp>
        <stp/>
        <stp>T</stp>
        <tr r="F120" s="2"/>
      </tp>
      <tp t="s">
        <v/>
        <stp/>
        <stp>ContractData</stp>
        <stp>ZSES6K26</stp>
        <stp>LastTradeorSettle</stp>
        <stp/>
        <stp>T</stp>
        <tr r="F119" s="2"/>
      </tp>
      <tp t="s">
        <v/>
        <stp/>
        <stp>ContractData</stp>
        <stp>ZSES6H26</stp>
        <stp>LastTradeorSettle</stp>
        <stp/>
        <stp>T</stp>
        <tr r="F118" s="2"/>
      </tp>
      <tp t="s">
        <v/>
        <stp/>
        <stp>ContractData</stp>
        <stp>ZSES6F26</stp>
        <stp>LastTradeorSettle</stp>
        <stp/>
        <stp>T</stp>
        <tr r="F117" s="2"/>
      </tp>
      <tp t="s">
        <v/>
        <stp/>
        <stp>ContractData</stp>
        <stp>ZSES1N26</stp>
        <stp>LastTradeorSettle</stp>
        <stp/>
        <stp>T</stp>
        <tr r="F40" s="2"/>
      </tp>
      <tp>
        <v>-7.5</v>
        <stp/>
        <stp>ContractData</stp>
        <stp>ZSES1K26</stp>
        <stp>LastTradeorSettle</stp>
        <stp/>
        <stp>T</stp>
        <tr r="F39" s="2"/>
      </tp>
      <tp>
        <v>-5.5</v>
        <stp/>
        <stp>ContractData</stp>
        <stp>ZSES1H26</stp>
        <stp>LastTradeorSettle</stp>
        <stp/>
        <stp>T</stp>
        <tr r="F38" s="2"/>
      </tp>
      <tp>
        <v>0.25</v>
        <stp/>
        <stp>ContractData</stp>
        <stp>ZSES1F26</stp>
        <stp>LastTradeorSettle</stp>
        <stp/>
        <stp>T</stp>
        <tr r="F37" s="2"/>
      </tp>
      <tp t="s">
        <v/>
        <stp/>
        <stp>ContractData</stp>
        <stp>ZSES2N26</stp>
        <stp>LastTradeorSettle</stp>
        <stp/>
        <stp>T</stp>
        <tr r="F56" s="2"/>
      </tp>
      <tp t="s">
        <v/>
        <stp/>
        <stp>ContractData</stp>
        <stp>ZSES2K26</stp>
        <stp>LastTradeorSettle</stp>
        <stp/>
        <stp>T</stp>
        <tr r="F55" s="2"/>
      </tp>
      <tp>
        <v>-12.75</v>
        <stp/>
        <stp>ContractData</stp>
        <stp>ZSES2H26</stp>
        <stp>LastTradeorSettle</stp>
        <stp/>
        <stp>T</stp>
        <tr r="F54" s="2"/>
      </tp>
      <tp t="s">
        <v/>
        <stp/>
        <stp>ContractData</stp>
        <stp>ZSES2F26</stp>
        <stp>LastTradeorSettle</stp>
        <stp/>
        <stp>T</stp>
        <tr r="F53" s="2"/>
      </tp>
      <tp>
        <v>15</v>
        <stp/>
        <stp>ContractData</stp>
        <stp>ZSES3N26</stp>
        <stp>LastTradeorSettle</stp>
        <stp/>
        <stp>T</stp>
        <tr r="F72" s="2"/>
      </tp>
      <tp t="s">
        <v/>
        <stp/>
        <stp>ContractData</stp>
        <stp>ZSES3K26</stp>
        <stp>LastTradeorSettle</stp>
        <stp/>
        <stp>T</stp>
        <tr r="F71" s="2"/>
      </tp>
      <tp t="s">
        <v/>
        <stp/>
        <stp>ContractData</stp>
        <stp>ZSES3H26</stp>
        <stp>LastTradeorSettle</stp>
        <stp/>
        <stp>T</stp>
        <tr r="F70" s="2"/>
      </tp>
      <tp t="s">
        <v/>
        <stp/>
        <stp>ContractData</stp>
        <stp>ZSES3F26</stp>
        <stp>LastTradeorSettle</stp>
        <stp/>
        <stp>T</stp>
        <tr r="F69" s="2"/>
      </tp>
      <tp t="s">
        <v/>
        <stp/>
        <stp>ContractData</stp>
        <stp>ZSES4X24</stp>
        <stp>LastTradeorSettle</stp>
        <stp/>
        <stp>T</stp>
        <tr r="F77" s="2"/>
      </tp>
      <tp t="s">
        <v/>
        <stp/>
        <stp>ContractData</stp>
        <stp>ZSES5X24</stp>
        <stp>LastTradeorSettle</stp>
        <stp/>
        <stp>T</stp>
        <tr r="F93" s="2"/>
      </tp>
      <tp t="s">
        <v/>
        <stp/>
        <stp>ContractData</stp>
        <stp>ZSES6X24</stp>
        <stp>LastTradeorSettle</stp>
        <stp/>
        <stp>T</stp>
        <tr r="F109" s="2"/>
      </tp>
      <tp>
        <v>-12.5</v>
        <stp/>
        <stp>ContractData</stp>
        <stp>ZSES1X24</stp>
        <stp>LastTradeorSettle</stp>
        <stp/>
        <stp>T</stp>
        <tr r="F29" s="2"/>
      </tp>
      <tp>
        <v>-21.5</v>
        <stp/>
        <stp>ContractData</stp>
        <stp>ZSES2X24</stp>
        <stp>LastTradeorSettle</stp>
        <stp/>
        <stp>T</stp>
        <tr r="F45" s="2"/>
      </tp>
      <tp t="s">
        <v/>
        <stp/>
        <stp>ContractData</stp>
        <stp>ZSES3X24</stp>
        <stp>LastTradeorSettle</stp>
        <stp/>
        <stp>T</stp>
        <tr r="F61" s="2"/>
      </tp>
      <tp>
        <v>-12.75</v>
        <stp/>
        <stp>ContractData</stp>
        <stp>ZSES6H25</stp>
        <stp>Ask</stp>
        <stp/>
        <stp>T</stp>
        <tr r="M107" s="2"/>
        <tr r="M107" s="2"/>
      </tp>
      <tp t="s">
        <v/>
        <stp/>
        <stp>ContractData</stp>
        <stp>ZSES6H26</stp>
        <stp>Ask</stp>
        <stp/>
        <stp>T</stp>
        <tr r="T107" s="2"/>
      </tp>
      <tp t="s">
        <v/>
        <stp/>
        <stp>ContractData</stp>
        <stp>ZSES6K26</stp>
        <stp>Bid</stp>
        <stp/>
        <stp>T</stp>
        <tr r="U108" s="2"/>
      </tp>
      <tp>
        <v>-1</v>
        <stp/>
        <stp>ContractData</stp>
        <stp>ZSES6K25</stp>
        <stp>Bid</stp>
        <stp/>
        <stp>T</stp>
        <tr r="N108" s="2"/>
        <tr r="N108" s="2"/>
      </tp>
      <tp>
        <v>-22.25</v>
        <stp/>
        <stp>ContractData</stp>
        <stp>ZSES4X25</stp>
        <stp>LastTradeorSettle</stp>
        <stp/>
        <stp>T</stp>
        <tr r="F84" s="2"/>
      </tp>
      <tp t="s">
        <v/>
        <stp/>
        <stp>ContractData</stp>
        <stp>ZSES4U25</stp>
        <stp>LastTradeorSettle</stp>
        <stp/>
        <stp>T</stp>
        <tr r="F83" s="2"/>
      </tp>
      <tp t="s">
        <v/>
        <stp/>
        <stp>ContractData</stp>
        <stp>ZSES4Q25</stp>
        <stp>LastTradeorSettle</stp>
        <stp/>
        <stp>T</stp>
        <tr r="F82" s="2"/>
      </tp>
      <tp t="s">
        <v/>
        <stp/>
        <stp>ContractData</stp>
        <stp>ZSES4N25</stp>
        <stp>LastTradeorSettle</stp>
        <stp/>
        <stp>T</stp>
        <tr r="F81" s="2"/>
      </tp>
      <tp>
        <v>8.5</v>
        <stp/>
        <stp>ContractData</stp>
        <stp>ZSES4K25</stp>
        <stp>LastTradeorSettle</stp>
        <stp/>
        <stp>T</stp>
        <tr r="F80" s="2"/>
      </tp>
      <tp>
        <v>-6.25</v>
        <stp/>
        <stp>ContractData</stp>
        <stp>ZSES4H25</stp>
        <stp>LastTradeorSettle</stp>
        <stp/>
        <stp>T</stp>
        <tr r="F79" s="2"/>
      </tp>
      <tp>
        <v>-33.25</v>
        <stp/>
        <stp>ContractData</stp>
        <stp>ZSES4F25</stp>
        <stp>LastTradeorSettle</stp>
        <stp/>
        <stp>T</stp>
        <tr r="F78" s="2"/>
      </tp>
      <tp t="s">
        <v/>
        <stp/>
        <stp>ContractData</stp>
        <stp>ZSES5X25</stp>
        <stp>LastTradeorSettle</stp>
        <stp/>
        <stp>T</stp>
        <tr r="F100" s="2"/>
      </tp>
      <tp t="s">
        <v/>
        <stp/>
        <stp>ContractData</stp>
        <stp>ZSES5U25</stp>
        <stp>LastTradeorSettle</stp>
        <stp/>
        <stp>T</stp>
        <tr r="F99" s="2"/>
      </tp>
      <tp t="s">
        <v/>
        <stp/>
        <stp>ContractData</stp>
        <stp>ZSES5Q25</stp>
        <stp>LastTradeorSettle</stp>
        <stp/>
        <stp>T</stp>
        <tr r="F98" s="2"/>
      </tp>
      <tp t="s">
        <v/>
        <stp/>
        <stp>ContractData</stp>
        <stp>ZSES5N25</stp>
        <stp>LastTradeorSettle</stp>
        <stp/>
        <stp>T</stp>
        <tr r="F97" s="2"/>
      </tp>
      <tp>
        <v>-0.75</v>
        <stp/>
        <stp>ContractData</stp>
        <stp>ZSES5K25</stp>
        <stp>LastTradeorSettle</stp>
        <stp/>
        <stp>T</stp>
        <tr r="F96" s="2"/>
      </tp>
      <tp>
        <v>-4</v>
        <stp/>
        <stp>ContractData</stp>
        <stp>ZSES5H25</stp>
        <stp>LastTradeorSettle</stp>
        <stp/>
        <stp>T</stp>
        <tr r="F95" s="2"/>
      </tp>
      <tp>
        <v>-18</v>
        <stp/>
        <stp>ContractData</stp>
        <stp>ZSES5F25</stp>
        <stp>LastTradeorSettle</stp>
        <stp/>
        <stp>T</stp>
        <tr r="F94" s="2"/>
      </tp>
      <tp t="s">
        <v/>
        <stp/>
        <stp>ContractData</stp>
        <stp>ZSES6X25</stp>
        <stp>LastTradeorSettle</stp>
        <stp/>
        <stp>T</stp>
        <tr r="F116" s="2"/>
      </tp>
      <tp t="s">
        <v/>
        <stp/>
        <stp>ContractData</stp>
        <stp>ZSES6U25</stp>
        <stp>LastTradeorSettle</stp>
        <stp/>
        <stp>T</stp>
        <tr r="F115" s="2"/>
      </tp>
      <tp t="s">
        <v/>
        <stp/>
        <stp>ContractData</stp>
        <stp>ZSES6Q25</stp>
        <stp>LastTradeorSettle</stp>
        <stp/>
        <stp>T</stp>
        <tr r="F114" s="2"/>
      </tp>
      <tp t="s">
        <v/>
        <stp/>
        <stp>ContractData</stp>
        <stp>ZSES6N25</stp>
        <stp>LastTradeorSettle</stp>
        <stp/>
        <stp>T</stp>
        <tr r="F113" s="2"/>
      </tp>
      <tp>
        <v>-2.5</v>
        <stp/>
        <stp>ContractData</stp>
        <stp>ZSES6K25</stp>
        <stp>LastTradeorSettle</stp>
        <stp/>
        <stp>T</stp>
        <tr r="F112" s="2"/>
      </tp>
      <tp>
        <v>-11.25</v>
        <stp/>
        <stp>ContractData</stp>
        <stp>ZSES6H25</stp>
        <stp>LastTradeorSettle</stp>
        <stp/>
        <stp>T</stp>
        <tr r="F111" s="2"/>
      </tp>
      <tp>
        <v>-15.75</v>
        <stp/>
        <stp>ContractData</stp>
        <stp>ZSES6F25</stp>
        <stp>LastTradeorSettle</stp>
        <stp/>
        <stp>T</stp>
        <tr r="F110" s="2"/>
      </tp>
      <tp>
        <v>-9.25</v>
        <stp/>
        <stp>ContractData</stp>
        <stp>ZSES1X25</stp>
        <stp>LastTradeorSettle</stp>
        <stp/>
        <stp>T</stp>
        <tr r="F36" s="2"/>
      </tp>
      <tp>
        <v>2.5</v>
        <stp/>
        <stp>ContractData</stp>
        <stp>ZSES1U25</stp>
        <stp>LastTradeorSettle</stp>
        <stp/>
        <stp>T</stp>
        <tr r="F35" s="2"/>
      </tp>
      <tp>
        <v>15</v>
        <stp/>
        <stp>ContractData</stp>
        <stp>ZSES1Q25</stp>
        <stp>LastTradeorSettle</stp>
        <stp/>
        <stp>T</stp>
        <tr r="F34" s="2"/>
      </tp>
      <tp>
        <v>2</v>
        <stp/>
        <stp>ContractData</stp>
        <stp>ZSES1N25</stp>
        <stp>LastTradeorSettle</stp>
        <stp/>
        <stp>T</stp>
        <tr r="F33" s="2"/>
      </tp>
      <tp>
        <v>-11</v>
        <stp/>
        <stp>ContractData</stp>
        <stp>ZSES1K25</stp>
        <stp>LastTradeorSettle</stp>
        <stp/>
        <stp>T</stp>
        <tr r="F32" s="2"/>
      </tp>
      <tp>
        <v>-12.5</v>
        <stp/>
        <stp>ContractData</stp>
        <stp>ZSES1H25</stp>
        <stp>LastTradeorSettle</stp>
        <stp/>
        <stp>T</stp>
        <tr r="F31" s="2"/>
      </tp>
      <tp>
        <v>-11.75</v>
        <stp/>
        <stp>ContractData</stp>
        <stp>ZSES1F25</stp>
        <stp>LastTradeorSettle</stp>
        <stp/>
        <stp>T</stp>
        <tr r="F30" s="2"/>
      </tp>
      <tp>
        <v>-8.75</v>
        <stp/>
        <stp>ContractData</stp>
        <stp>ZSES2X25</stp>
        <stp>LastTradeorSettle</stp>
        <stp/>
        <stp>T</stp>
        <tr r="F52" s="2"/>
      </tp>
      <tp>
        <v>-6.75</v>
        <stp/>
        <stp>ContractData</stp>
        <stp>ZSES2U25</stp>
        <stp>LastTradeorSettle</stp>
        <stp/>
        <stp>T</stp>
        <tr r="F51" s="2"/>
      </tp>
      <tp>
        <v>17.75</v>
        <stp/>
        <stp>ContractData</stp>
        <stp>ZSES2Q25</stp>
        <stp>LastTradeorSettle</stp>
        <stp/>
        <stp>T</stp>
        <tr r="F50" s="2"/>
      </tp>
      <tp>
        <v>17.25</v>
        <stp/>
        <stp>ContractData</stp>
        <stp>ZSES2N25</stp>
        <stp>LastTradeorSettle</stp>
        <stp/>
        <stp>T</stp>
        <tr r="F49" s="2"/>
      </tp>
      <tp>
        <v>-9</v>
        <stp/>
        <stp>ContractData</stp>
        <stp>ZSES2K25</stp>
        <stp>LastTradeorSettle</stp>
        <stp/>
        <stp>T</stp>
        <tr r="F48" s="2"/>
      </tp>
      <tp>
        <v>-23.5</v>
        <stp/>
        <stp>ContractData</stp>
        <stp>ZSES2H25</stp>
        <stp>LastTradeorSettle</stp>
        <stp/>
        <stp>T</stp>
        <tr r="F47" s="2"/>
      </tp>
      <tp>
        <v>-24.5</v>
        <stp/>
        <stp>ContractData</stp>
        <stp>ZSES2F25</stp>
        <stp>LastTradeorSettle</stp>
        <stp/>
        <stp>T</stp>
        <tr r="F46" s="2"/>
      </tp>
      <tp t="s">
        <v/>
        <stp/>
        <stp>ContractData</stp>
        <stp>ZSES3X25</stp>
        <stp>LastTradeorSettle</stp>
        <stp/>
        <stp>T</stp>
        <tr r="F68" s="2"/>
      </tp>
      <tp t="s">
        <v/>
        <stp/>
        <stp>ContractData</stp>
        <stp>ZSES3U25</stp>
        <stp>LastTradeorSettle</stp>
        <stp/>
        <stp>T</stp>
        <tr r="F67" s="2"/>
      </tp>
      <tp t="s">
        <v/>
        <stp/>
        <stp>ContractData</stp>
        <stp>ZSES3Q25</stp>
        <stp>LastTradeorSettle</stp>
        <stp/>
        <stp>T</stp>
        <tr r="F66" s="2"/>
      </tp>
      <tp>
        <v>19.75</v>
        <stp/>
        <stp>ContractData</stp>
        <stp>ZSES3N25</stp>
        <stp>LastTradeorSettle</stp>
        <stp/>
        <stp>T</stp>
        <tr r="F65" s="2"/>
      </tp>
      <tp>
        <v>6.25</v>
        <stp/>
        <stp>ContractData</stp>
        <stp>ZSES3K25</stp>
        <stp>LastTradeorSettle</stp>
        <stp/>
        <stp>T</stp>
        <tr r="F64" s="2"/>
      </tp>
      <tp>
        <v>-21.25</v>
        <stp/>
        <stp>ContractData</stp>
        <stp>ZSES3H25</stp>
        <stp>LastTradeorSettle</stp>
        <stp/>
        <stp>T</stp>
        <tr r="F63" s="2"/>
      </tp>
      <tp>
        <v>-35.25</v>
        <stp/>
        <stp>ContractData</stp>
        <stp>ZSES3F25</stp>
        <stp>LastTradeorSettle</stp>
        <stp/>
        <stp>T</stp>
        <tr r="F62" s="2"/>
      </tp>
      <tp>
        <v>6.5</v>
        <stp/>
        <stp>ContractData</stp>
        <stp>ZSES6N25</stp>
        <stp>Ask</stp>
        <stp/>
        <stp>T</stp>
        <tr r="O107" s="2"/>
        <tr r="O107" s="2"/>
      </tp>
      <tp t="s">
        <v/>
        <stp/>
        <stp>ContractData</stp>
        <stp>ZSES6N26</stp>
        <stp>Ask</stp>
        <stp/>
        <stp>T</stp>
        <tr r="V107" s="2"/>
      </tp>
      <tp t="s">
        <v/>
        <stp/>
        <stp>ContractData</stp>
        <stp>ZSES6N26</stp>
        <stp>Bid</stp>
        <stp/>
        <stp>T</stp>
        <tr r="V108" s="2"/>
      </tp>
      <tp>
        <v>4.25</v>
        <stp/>
        <stp>ContractData</stp>
        <stp>ZSES6N25</stp>
        <stp>Bid</stp>
        <stp/>
        <stp>T</stp>
        <tr r="O108" s="2"/>
        <tr r="O108" s="2"/>
      </tp>
      <tp>
        <v>-5.5</v>
        <stp/>
        <stp>ContractData</stp>
        <stp>ZSES6Q25</stp>
        <stp>Bid</stp>
        <stp/>
        <stp>T</stp>
        <tr r="P108" s="2"/>
        <tr r="P108" s="2"/>
      </tp>
      <tp>
        <v>-2.75</v>
        <stp/>
        <stp>ContractData</stp>
        <stp>ZSES6Q25</stp>
        <stp>Ask</stp>
        <stp/>
        <stp>T</stp>
        <tr r="P107" s="2"/>
        <tr r="P107" s="2"/>
      </tp>
      <tp t="s">
        <v/>
        <stp/>
        <stp>ContractData</stp>
        <stp>ZSES6U25</stp>
        <stp>Bid</stp>
        <stp/>
        <stp>T</stp>
        <tr r="Q108" s="2"/>
      </tp>
      <tp t="s">
        <v/>
        <stp/>
        <stp>ContractData</stp>
        <stp>ZSES6U25</stp>
        <stp>Ask</stp>
        <stp/>
        <stp>T</stp>
        <tr r="Q107" s="2"/>
      </tp>
      <tp t="s">
        <v/>
        <stp/>
        <stp>ContractData</stp>
        <stp>ZSES6X24</stp>
        <stp>Low</stp>
        <stp/>
        <stp>T</stp>
        <tr r="E109" s="2"/>
      </tp>
      <tp t="s">
        <v/>
        <stp/>
        <stp>ContractData</stp>
        <stp>ZSES6X25</stp>
        <stp>Low</stp>
        <stp/>
        <stp>T</stp>
        <tr r="E116" s="2"/>
      </tp>
      <tp t="s">
        <v/>
        <stp/>
        <stp>ContractData</stp>
        <stp>ZSES6X25</stp>
        <stp>Bid</stp>
        <stp/>
        <stp>T</stp>
        <tr r="R108" s="2"/>
      </tp>
      <tp>
        <v>-35.25</v>
        <stp/>
        <stp>ContractData</stp>
        <stp>ZSES6X24</stp>
        <stp>Bid</stp>
        <stp/>
        <stp>T</stp>
        <tr r="K108" s="2"/>
        <tr r="K108" s="2"/>
      </tp>
      <tp>
        <v>-28.5</v>
        <stp/>
        <stp>ContractData</stp>
        <stp>ZSES6X24</stp>
        <stp>Ask</stp>
        <stp/>
        <stp>T</stp>
        <tr r="K107" s="2"/>
        <tr r="K107" s="2"/>
      </tp>
      <tp>
        <v>22.5</v>
        <stp/>
        <stp>ContractData</stp>
        <stp>ZSES6X25</stp>
        <stp>Ask</stp>
        <stp/>
        <stp>T</stp>
        <tr r="R107" s="2"/>
        <tr r="R107" s="2"/>
      </tp>
      <tp t="s">
        <v/>
        <stp/>
        <stp>ContractData</stp>
        <stp>ZSES6U25</stp>
        <stp>Low</stp>
        <stp/>
        <stp>T</stp>
        <tr r="E115" s="2"/>
      </tp>
      <tp t="s">
        <v/>
        <stp/>
        <stp>ContractData</stp>
        <stp>ZSES6Q25</stp>
        <stp>Low</stp>
        <stp/>
        <stp>T</stp>
        <tr r="E114" s="2"/>
      </tp>
      <tp>
        <v>-23</v>
        <stp/>
        <stp>ContractData</stp>
        <stp>ZSES2H25</stp>
        <stp>High</stp>
        <stp/>
        <stp>T</stp>
        <tr r="D47" s="2"/>
      </tp>
      <tp>
        <v>-20.25</v>
        <stp/>
        <stp>ContractData</stp>
        <stp>ZSES3H25</stp>
        <stp>High</stp>
        <stp/>
        <stp>T</stp>
        <tr r="D63" s="2"/>
      </tp>
      <tp>
        <v>-12.25</v>
        <stp/>
        <stp>ContractData</stp>
        <stp>ZSES1H25</stp>
        <stp>High</stp>
        <stp/>
        <stp>T</stp>
        <tr r="D31" s="2"/>
      </tp>
      <tp>
        <v>-11.25</v>
        <stp/>
        <stp>ContractData</stp>
        <stp>ZSES6H25</stp>
        <stp>High</stp>
        <stp/>
        <stp>T</stp>
        <tr r="D111" s="2"/>
      </tp>
      <tp>
        <v>-4</v>
        <stp/>
        <stp>ContractData</stp>
        <stp>ZSES4H25</stp>
        <stp>High</stp>
        <stp/>
        <stp>T</stp>
        <tr r="D79" s="2"/>
      </tp>
      <tp>
        <v>-0.5</v>
        <stp/>
        <stp>ContractData</stp>
        <stp>ZSES5H25</stp>
        <stp>High</stp>
        <stp/>
        <stp>T</stp>
        <tr r="D95" s="2"/>
      </tp>
      <tp>
        <v>-12.25</v>
        <stp/>
        <stp>ContractData</stp>
        <stp>ZSES2H26</stp>
        <stp>High</stp>
        <stp/>
        <stp>T</stp>
        <tr r="D54" s="2"/>
      </tp>
      <tp t="s">
        <v/>
        <stp/>
        <stp>ContractData</stp>
        <stp>ZSES3H26</stp>
        <stp>High</stp>
        <stp/>
        <stp>T</stp>
        <tr r="D70" s="2"/>
      </tp>
      <tp>
        <v>-5</v>
        <stp/>
        <stp>ContractData</stp>
        <stp>ZSES1H26</stp>
        <stp>High</stp>
        <stp/>
        <stp>T</stp>
        <tr r="D38" s="2"/>
      </tp>
      <tp t="s">
        <v/>
        <stp/>
        <stp>ContractData</stp>
        <stp>ZSES6H26</stp>
        <stp>High</stp>
        <stp/>
        <stp>T</stp>
        <tr r="D118" s="2"/>
      </tp>
      <tp t="s">
        <v/>
        <stp/>
        <stp>ContractData</stp>
        <stp>ZSES4H26</stp>
        <stp>High</stp>
        <stp/>
        <stp>T</stp>
        <tr r="D86" s="2"/>
      </tp>
      <tp t="s">
        <v/>
        <stp/>
        <stp>ContractData</stp>
        <stp>ZSES5H26</stp>
        <stp>High</stp>
        <stp/>
        <stp>T</stp>
        <tr r="D102" s="2"/>
      </tp>
      <tp>
        <v>1.25</v>
        <stp/>
        <stp>ContractData</stp>
        <stp>ZSES1N25</stp>
        <stp>Low</stp>
        <stp/>
        <stp>T</stp>
        <tr r="E33" s="2"/>
      </tp>
      <tp t="s">
        <v/>
        <stp/>
        <stp>ContractData</stp>
        <stp>ZSES1N26</stp>
        <stp>Low</stp>
        <stp/>
        <stp>T</stp>
        <tr r="E40" s="2"/>
      </tp>
      <tp>
        <v>-11.75</v>
        <stp/>
        <stp>ContractData</stp>
        <stp>ZSES1F25</stp>
        <stp>Ask</stp>
        <stp/>
        <stp>T</stp>
        <tr r="L27" s="2"/>
        <tr r="L27" s="2"/>
      </tp>
      <tp>
        <v>0.5</v>
        <stp/>
        <stp>ContractData</stp>
        <stp>ZSES1F26</stp>
        <stp>Ask</stp>
        <stp/>
        <stp>T</stp>
        <tr r="S27" s="2"/>
        <tr r="S27" s="2"/>
      </tp>
      <tp>
        <v>-11.25</v>
        <stp/>
        <stp>ContractData</stp>
        <stp>ZSES1K25</stp>
        <stp>Low</stp>
        <stp/>
        <stp>T</stp>
        <tr r="E32" s="2"/>
      </tp>
      <tp>
        <v>-7.75</v>
        <stp/>
        <stp>ContractData</stp>
        <stp>ZSES1K26</stp>
        <stp>Low</stp>
        <stp/>
        <stp>T</stp>
        <tr r="E39" s="2"/>
      </tp>
      <tp>
        <v>-13.25</v>
        <stp/>
        <stp>ContractData</stp>
        <stp>ZSES1H25</stp>
        <stp>Low</stp>
        <stp/>
        <stp>T</stp>
        <tr r="E31" s="2"/>
      </tp>
      <tp>
        <v>-5.75</v>
        <stp/>
        <stp>ContractData</stp>
        <stp>ZSES1H26</stp>
        <stp>Low</stp>
        <stp/>
        <stp>T</stp>
        <tr r="E38" s="2"/>
      </tp>
      <tp>
        <v>0</v>
        <stp/>
        <stp>ContractData</stp>
        <stp>ZSES1F26</stp>
        <stp>Bid</stp>
        <stp/>
        <stp>T</stp>
        <tr r="S28" s="2"/>
        <tr r="S28" s="2"/>
      </tp>
      <tp>
        <v>-12</v>
        <stp/>
        <stp>ContractData</stp>
        <stp>ZSES1F25</stp>
        <stp>Bid</stp>
        <stp/>
        <stp>T</stp>
        <tr r="L28" s="2"/>
        <tr r="L28" s="2"/>
      </tp>
      <tp>
        <v>-10.75</v>
        <stp/>
        <stp>ContractData</stp>
        <stp>ZSES1K25</stp>
        <stp>Ask</stp>
        <stp/>
        <stp>T</stp>
        <tr r="N27" s="2"/>
        <tr r="N27" s="2"/>
      </tp>
      <tp>
        <v>-7.25</v>
        <stp/>
        <stp>ContractData</stp>
        <stp>ZSES1K26</stp>
        <stp>Ask</stp>
        <stp/>
        <stp>T</stp>
        <tr r="U27" s="2"/>
        <tr r="U27" s="2"/>
      </tp>
      <tp>
        <v>-13.25</v>
        <stp/>
        <stp>ContractData</stp>
        <stp>ZSES1F25</stp>
        <stp>Low</stp>
        <stp/>
        <stp>T</stp>
        <tr r="E30" s="2"/>
      </tp>
      <tp>
        <v>0</v>
        <stp/>
        <stp>ContractData</stp>
        <stp>ZSES1F26</stp>
        <stp>Low</stp>
        <stp/>
        <stp>T</stp>
        <tr r="E37" s="2"/>
      </tp>
      <tp>
        <v>-5.5</v>
        <stp/>
        <stp>ContractData</stp>
        <stp>ZSES1H26</stp>
        <stp>Bid</stp>
        <stp/>
        <stp>T</stp>
        <tr r="T28" s="2"/>
        <tr r="T28" s="2"/>
      </tp>
      <tp>
        <v>-12.75</v>
        <stp/>
        <stp>ContractData</stp>
        <stp>ZSES1H25</stp>
        <stp>Bid</stp>
        <stp/>
        <stp>T</stp>
        <tr r="M28" s="2"/>
        <tr r="M28" s="2"/>
      </tp>
      <tp>
        <v>-12.5</v>
        <stp/>
        <stp>ContractData</stp>
        <stp>ZSES1H25</stp>
        <stp>Ask</stp>
        <stp/>
        <stp>T</stp>
        <tr r="M27" s="2"/>
        <tr r="M27" s="2"/>
      </tp>
      <tp>
        <v>-5</v>
        <stp/>
        <stp>ContractData</stp>
        <stp>ZSES1H26</stp>
        <stp>Ask</stp>
        <stp/>
        <stp>T</stp>
        <tr r="T27" s="2"/>
        <tr r="T27" s="2"/>
      </tp>
      <tp>
        <v>-7.5</v>
        <stp/>
        <stp>ContractData</stp>
        <stp>ZSES1K26</stp>
        <stp>Bid</stp>
        <stp/>
        <stp>T</stp>
        <tr r="U28" s="2"/>
        <tr r="U28" s="2"/>
      </tp>
      <tp>
        <v>-11</v>
        <stp/>
        <stp>ContractData</stp>
        <stp>ZSES1K25</stp>
        <stp>Bid</stp>
        <stp/>
        <stp>T</stp>
        <tr r="N28" s="2"/>
        <tr r="N28" s="2"/>
      </tp>
      <tp>
        <v>2.25</v>
        <stp/>
        <stp>ContractData</stp>
        <stp>ZSES1N25</stp>
        <stp>Ask</stp>
        <stp/>
        <stp>T</stp>
        <tr r="O27" s="2"/>
        <tr r="O27" s="2"/>
      </tp>
      <tp>
        <v>4.75</v>
        <stp/>
        <stp>ContractData</stp>
        <stp>ZSES1N26</stp>
        <stp>Ask</stp>
        <stp/>
        <stp>T</stp>
        <tr r="V27" s="2"/>
        <tr r="V27" s="2"/>
      </tp>
      <tp>
        <v>2.75</v>
        <stp/>
        <stp>ContractData</stp>
        <stp>ZSES1N26</stp>
        <stp>Bid</stp>
        <stp/>
        <stp>T</stp>
        <tr r="V28" s="2"/>
        <tr r="V28" s="2"/>
      </tp>
      <tp>
        <v>2</v>
        <stp/>
        <stp>ContractData</stp>
        <stp>ZSES1N25</stp>
        <stp>Bid</stp>
        <stp/>
        <stp>T</stp>
        <tr r="O28" s="2"/>
        <tr r="O28" s="2"/>
      </tp>
      <tp>
        <v>14.75</v>
        <stp/>
        <stp>ContractData</stp>
        <stp>ZSES1Q25</stp>
        <stp>Bid</stp>
        <stp/>
        <stp>T</stp>
        <tr r="P28" s="2"/>
        <tr r="P28" s="2"/>
      </tp>
      <tp>
        <v>15</v>
        <stp/>
        <stp>ContractData</stp>
        <stp>ZSES1Q25</stp>
        <stp>Ask</stp>
        <stp/>
        <stp>T</stp>
        <tr r="P27" s="2"/>
        <tr r="P27" s="2"/>
      </tp>
      <tp>
        <v>2.25</v>
        <stp/>
        <stp>ContractData</stp>
        <stp>ZSES1U25</stp>
        <stp>Bid</stp>
        <stp/>
        <stp>T</stp>
        <tr r="Q28" s="2"/>
        <tr r="Q28" s="2"/>
      </tp>
      <tp>
        <v>2.75</v>
        <stp/>
        <stp>ContractData</stp>
        <stp>ZSES1U25</stp>
        <stp>Ask</stp>
        <stp/>
        <stp>T</stp>
        <tr r="Q27" s="2"/>
        <tr r="Q27" s="2"/>
      </tp>
      <tp>
        <v>-13.75</v>
        <stp/>
        <stp>ContractData</stp>
        <stp>ZSES1X24</stp>
        <stp>Low</stp>
        <stp/>
        <stp>T</stp>
        <tr r="E29" s="2"/>
      </tp>
      <tp>
        <v>-9.5</v>
        <stp/>
        <stp>ContractData</stp>
        <stp>ZSES1X25</stp>
        <stp>Low</stp>
        <stp/>
        <stp>T</stp>
        <tr r="E36" s="2"/>
      </tp>
      <tp>
        <v>-9.25</v>
        <stp/>
        <stp>ContractData</stp>
        <stp>ZSES1X25</stp>
        <stp>Bid</stp>
        <stp/>
        <stp>T</stp>
        <tr r="R28" s="2"/>
        <tr r="R28" s="2"/>
      </tp>
      <tp>
        <v>-12.5</v>
        <stp/>
        <stp>ContractData</stp>
        <stp>ZSES1X24</stp>
        <stp>Bid</stp>
        <stp/>
        <stp>T</stp>
        <tr r="K28" s="2"/>
        <tr r="K28" s="2"/>
      </tp>
      <tp>
        <v>-11.25</v>
        <stp/>
        <stp>ContractData</stp>
        <stp>ZSES1X24</stp>
        <stp>Ask</stp>
        <stp/>
        <stp>T</stp>
        <tr r="K27" s="2"/>
        <tr r="K27" s="2"/>
      </tp>
      <tp>
        <v>-9</v>
        <stp/>
        <stp>ContractData</stp>
        <stp>ZSES1X25</stp>
        <stp>Ask</stp>
        <stp/>
        <stp>T</stp>
        <tr r="R27" s="2"/>
        <tr r="R27" s="2"/>
      </tp>
      <tp>
        <v>1.5</v>
        <stp/>
        <stp>ContractData</stp>
        <stp>ZSES1U25</stp>
        <stp>Low</stp>
        <stp/>
        <stp>T</stp>
        <tr r="E35" s="2"/>
      </tp>
      <tp>
        <v>13.5</v>
        <stp/>
        <stp>ContractData</stp>
        <stp>ZSES1Q25</stp>
        <stp>Low</stp>
        <stp/>
        <stp>T</stp>
        <tr r="E34" s="2"/>
      </tp>
      <tp t="s">
        <v/>
        <stp/>
        <stp>ContractData</stp>
        <stp>ZSES4H26</stp>
        <stp>Open</stp>
        <stp/>
        <stp>T</stp>
        <tr r="C86" s="2"/>
      </tp>
      <tp t="s">
        <v/>
        <stp/>
        <stp>ContractData</stp>
        <stp>ZSES5H26</stp>
        <stp>Open</stp>
        <stp/>
        <stp>T</stp>
        <tr r="C102" s="2"/>
      </tp>
      <tp t="s">
        <v/>
        <stp/>
        <stp>ContractData</stp>
        <stp>ZSES6H26</stp>
        <stp>Open</stp>
        <stp/>
        <stp>T</stp>
        <tr r="C118" s="2"/>
      </tp>
      <tp>
        <v>-5.75</v>
        <stp/>
        <stp>ContractData</stp>
        <stp>ZSES1H26</stp>
        <stp>Open</stp>
        <stp/>
        <stp>T</stp>
        <tr r="C38" s="2"/>
      </tp>
      <tp>
        <v>-12.5</v>
        <stp/>
        <stp>ContractData</stp>
        <stp>ZSES2H26</stp>
        <stp>Open</stp>
        <stp/>
        <stp>T</stp>
        <tr r="C54" s="2"/>
      </tp>
      <tp t="s">
        <v/>
        <stp/>
        <stp>ContractData</stp>
        <stp>ZSES3H26</stp>
        <stp>Open</stp>
        <stp/>
        <stp>T</stp>
        <tr r="C70" s="2"/>
      </tp>
      <tp>
        <v>-7</v>
        <stp/>
        <stp>ContractData</stp>
        <stp>ZSES4H25</stp>
        <stp>Open</stp>
        <stp/>
        <stp>T</stp>
        <tr r="C79" s="2"/>
      </tp>
      <tp>
        <v>-7.25</v>
        <stp/>
        <stp>ContractData</stp>
        <stp>ZSES5H25</stp>
        <stp>Open</stp>
        <stp/>
        <stp>T</stp>
        <tr r="C95" s="2"/>
      </tp>
      <tp>
        <v>-11.25</v>
        <stp/>
        <stp>ContractData</stp>
        <stp>ZSES6H25</stp>
        <stp>Open</stp>
        <stp/>
        <stp>T</stp>
        <tr r="C111" s="2"/>
      </tp>
      <tp>
        <v>-13.25</v>
        <stp/>
        <stp>ContractData</stp>
        <stp>ZSES1H25</stp>
        <stp>Open</stp>
        <stp/>
        <stp>T</stp>
        <tr r="C31" s="2"/>
      </tp>
      <tp>
        <v>-24.5</v>
        <stp/>
        <stp>ContractData</stp>
        <stp>ZSES2H25</stp>
        <stp>Open</stp>
        <stp/>
        <stp>T</stp>
        <tr r="C47" s="2"/>
      </tp>
      <tp>
        <v>-22.75</v>
        <stp/>
        <stp>ContractData</stp>
        <stp>ZSES3H25</stp>
        <stp>Open</stp>
        <stp/>
        <stp>T</stp>
        <tr r="C63" s="2"/>
      </tp>
      <tp>
        <v>19</v>
        <stp/>
        <stp>ContractData</stp>
        <stp>ZSES2N25</stp>
        <stp>High</stp>
        <stp/>
        <stp>T</stp>
        <tr r="D49" s="2"/>
      </tp>
      <tp>
        <v>22.5</v>
        <stp/>
        <stp>ContractData</stp>
        <stp>ZSES3N25</stp>
        <stp>High</stp>
        <stp/>
        <stp>T</stp>
        <tr r="D65" s="2"/>
      </tp>
      <tp>
        <v>2.5</v>
        <stp/>
        <stp>ContractData</stp>
        <stp>ZSES1N25</stp>
        <stp>High</stp>
        <stp/>
        <stp>T</stp>
        <tr r="D33" s="2"/>
      </tp>
      <tp t="s">
        <v/>
        <stp/>
        <stp>ContractData</stp>
        <stp>ZSES6N25</stp>
        <stp>High</stp>
        <stp/>
        <stp>T</stp>
        <tr r="D113" s="2"/>
      </tp>
      <tp t="s">
        <v/>
        <stp/>
        <stp>ContractData</stp>
        <stp>ZSES4N25</stp>
        <stp>High</stp>
        <stp/>
        <stp>T</stp>
        <tr r="D81" s="2"/>
      </tp>
      <tp t="s">
        <v/>
        <stp/>
        <stp>ContractData</stp>
        <stp>ZSES5N25</stp>
        <stp>High</stp>
        <stp/>
        <stp>T</stp>
        <tr r="D97" s="2"/>
      </tp>
      <tp t="s">
        <v/>
        <stp/>
        <stp>ContractData</stp>
        <stp>ZSES2N26</stp>
        <stp>High</stp>
        <stp/>
        <stp>T</stp>
        <tr r="D56" s="2"/>
      </tp>
      <tp>
        <v>15</v>
        <stp/>
        <stp>ContractData</stp>
        <stp>ZSES3N26</stp>
        <stp>High</stp>
        <stp/>
        <stp>T</stp>
        <tr r="D72" s="2"/>
      </tp>
      <tp t="s">
        <v/>
        <stp/>
        <stp>ContractData</stp>
        <stp>ZSES1N26</stp>
        <stp>High</stp>
        <stp/>
        <stp>T</stp>
        <tr r="D40" s="2"/>
      </tp>
      <tp t="s">
        <v/>
        <stp/>
        <stp>ContractData</stp>
        <stp>ZSES6N26</stp>
        <stp>High</stp>
        <stp/>
        <stp>T</stp>
        <tr r="D120" s="2"/>
      </tp>
      <tp t="s">
        <v/>
        <stp/>
        <stp>ContractData</stp>
        <stp>ZSES4N26</stp>
        <stp>High</stp>
        <stp/>
        <stp>T</stp>
        <tr r="D88" s="2"/>
      </tp>
      <tp t="s">
        <v/>
        <stp/>
        <stp>ContractData</stp>
        <stp>ZSES5N26</stp>
        <stp>High</stp>
        <stp/>
        <stp>T</stp>
        <tr r="D104" s="2"/>
      </tp>
      <tp>
        <v>16</v>
        <stp/>
        <stp>ContractData</stp>
        <stp>ZSES3N25</stp>
        <stp>Low</stp>
        <stp/>
        <stp>T</stp>
        <tr r="E65" s="2"/>
      </tp>
      <tp>
        <v>13.5</v>
        <stp/>
        <stp>ContractData</stp>
        <stp>ZSES3N26</stp>
        <stp>Low</stp>
        <stp/>
        <stp>T</stp>
        <tr r="E72" s="2"/>
      </tp>
      <tp>
        <v>-35.25</v>
        <stp/>
        <stp>ContractData</stp>
        <stp>ZSES3F25</stp>
        <stp>Ask</stp>
        <stp/>
        <stp>T</stp>
        <tr r="L59" s="2"/>
        <tr r="L59" s="2"/>
      </tp>
      <tp>
        <v>-11</v>
        <stp/>
        <stp>ContractData</stp>
        <stp>ZSES3F26</stp>
        <stp>Ask</stp>
        <stp/>
        <stp>T</stp>
        <tr r="S59" s="2"/>
        <tr r="S59" s="2"/>
      </tp>
      <tp>
        <v>5.5</v>
        <stp/>
        <stp>ContractData</stp>
        <stp>ZSES3K25</stp>
        <stp>Low</stp>
        <stp/>
        <stp>T</stp>
        <tr r="E64" s="2"/>
      </tp>
      <tp t="s">
        <v/>
        <stp/>
        <stp>ContractData</stp>
        <stp>ZSES3K26</stp>
        <stp>Low</stp>
        <stp/>
        <stp>T</stp>
        <tr r="E71" s="2"/>
      </tp>
      <tp>
        <v>-22.75</v>
        <stp/>
        <stp>ContractData</stp>
        <stp>ZSES3H25</stp>
        <stp>Low</stp>
        <stp/>
        <stp>T</stp>
        <tr r="E63" s="2"/>
      </tp>
      <tp t="s">
        <v/>
        <stp/>
        <stp>ContractData</stp>
        <stp>ZSES3H26</stp>
        <stp>Low</stp>
        <stp/>
        <stp>T</stp>
        <tr r="E70" s="2"/>
      </tp>
      <tp>
        <v>-13.75</v>
        <stp/>
        <stp>ContractData</stp>
        <stp>ZSES3F26</stp>
        <stp>Bid</stp>
        <stp/>
        <stp>T</stp>
        <tr r="S60" s="2"/>
        <tr r="S60" s="2"/>
      </tp>
      <tp>
        <v>-35.5</v>
        <stp/>
        <stp>ContractData</stp>
        <stp>ZSES3F25</stp>
        <stp>Bid</stp>
        <stp/>
        <stp>T</stp>
        <tr r="L60" s="2"/>
        <tr r="L60" s="2"/>
      </tp>
      <tp>
        <v>6.25</v>
        <stp/>
        <stp>ContractData</stp>
        <stp>ZSES3K25</stp>
        <stp>Ask</stp>
        <stp/>
        <stp>T</stp>
        <tr r="N59" s="2"/>
        <tr r="N59" s="2"/>
      </tp>
      <tp>
        <v>37</v>
        <stp/>
        <stp>ContractData</stp>
        <stp>ZSES3K26</stp>
        <stp>Ask</stp>
        <stp/>
        <stp>T</stp>
        <tr r="U59" s="2"/>
        <tr r="U59" s="2"/>
      </tp>
      <tp>
        <v>-37.75</v>
        <stp/>
        <stp>ContractData</stp>
        <stp>ZSES3F25</stp>
        <stp>Low</stp>
        <stp/>
        <stp>T</stp>
        <tr r="E62" s="2"/>
      </tp>
      <tp t="s">
        <v/>
        <stp/>
        <stp>ContractData</stp>
        <stp>ZSES3F26</stp>
        <stp>Low</stp>
        <stp/>
        <stp>T</stp>
        <tr r="E69" s="2"/>
      </tp>
      <tp t="s">
        <v/>
        <stp/>
        <stp>ContractData</stp>
        <stp>ZSES3H26</stp>
        <stp>Bid</stp>
        <stp/>
        <stp>T</stp>
        <tr r="T60" s="2"/>
      </tp>
      <tp>
        <v>-21.75</v>
        <stp/>
        <stp>ContractData</stp>
        <stp>ZSES3H25</stp>
        <stp>Bid</stp>
        <stp/>
        <stp>T</stp>
        <tr r="M60" s="2"/>
        <tr r="M60" s="2"/>
      </tp>
      <tp>
        <v>-21.25</v>
        <stp/>
        <stp>ContractData</stp>
        <stp>ZSES3H25</stp>
        <stp>Ask</stp>
        <stp/>
        <stp>T</stp>
        <tr r="M59" s="2"/>
        <tr r="M59" s="2"/>
      </tp>
      <tp t="s">
        <v/>
        <stp/>
        <stp>ContractData</stp>
        <stp>ZSES3H26</stp>
        <stp>Ask</stp>
        <stp/>
        <stp>T</stp>
        <tr r="T59" s="2"/>
      </tp>
      <tp t="s">
        <v/>
        <stp/>
        <stp>ContractData</stp>
        <stp>ZSES3K26</stp>
        <stp>Bid</stp>
        <stp/>
        <stp>T</stp>
        <tr r="U60" s="2"/>
      </tp>
      <tp>
        <v>6</v>
        <stp/>
        <stp>ContractData</stp>
        <stp>ZSES3K25</stp>
        <stp>Bid</stp>
        <stp/>
        <stp>T</stp>
        <tr r="N60" s="2"/>
        <tr r="N60" s="2"/>
      </tp>
      <tp>
        <v>19.75</v>
        <stp/>
        <stp>ContractData</stp>
        <stp>ZSES3N25</stp>
        <stp>Ask</stp>
        <stp/>
        <stp>T</stp>
        <tr r="O59" s="2"/>
        <tr r="O59" s="2"/>
      </tp>
      <tp>
        <v>15</v>
        <stp/>
        <stp>ContractData</stp>
        <stp>ZSES3N26</stp>
        <stp>Ask</stp>
        <stp/>
        <stp>T</stp>
        <tr r="V59" s="2"/>
        <tr r="V59" s="2"/>
      </tp>
      <tp>
        <v>14.5</v>
        <stp/>
        <stp>ContractData</stp>
        <stp>ZSES3N26</stp>
        <stp>Bid</stp>
        <stp/>
        <stp>T</stp>
        <tr r="V60" s="2"/>
        <tr r="V60" s="2"/>
      </tp>
      <tp>
        <v>19.5</v>
        <stp/>
        <stp>ContractData</stp>
        <stp>ZSES3N25</stp>
        <stp>Bid</stp>
        <stp/>
        <stp>T</stp>
        <tr r="O60" s="2"/>
        <tr r="O60" s="2"/>
      </tp>
      <tp>
        <v>7.5</v>
        <stp/>
        <stp>ContractData</stp>
        <stp>ZSES3Q25</stp>
        <stp>Bid</stp>
        <stp/>
        <stp>T</stp>
        <tr r="P60" s="2"/>
        <tr r="P60" s="2"/>
      </tp>
      <tp>
        <v>9</v>
        <stp/>
        <stp>ContractData</stp>
        <stp>ZSES3Q25</stp>
        <stp>Ask</stp>
        <stp/>
        <stp>T</stp>
        <tr r="P59" s="2"/>
        <tr r="P59" s="2"/>
      </tp>
      <tp>
        <v>-7.25</v>
        <stp/>
        <stp>ContractData</stp>
        <stp>ZSES3U25</stp>
        <stp>Bid</stp>
        <stp/>
        <stp>T</stp>
        <tr r="Q60" s="2"/>
        <tr r="Q60" s="2"/>
      </tp>
      <tp>
        <v>-5.75</v>
        <stp/>
        <stp>ContractData</stp>
        <stp>ZSES3U25</stp>
        <stp>Ask</stp>
        <stp/>
        <stp>T</stp>
        <tr r="Q59" s="2"/>
        <tr r="Q59" s="2"/>
      </tp>
      <tp t="s">
        <v/>
        <stp/>
        <stp>ContractData</stp>
        <stp>ZSES3X24</stp>
        <stp>Low</stp>
        <stp/>
        <stp>T</stp>
        <tr r="E61" s="2"/>
      </tp>
      <tp t="s">
        <v/>
        <stp/>
        <stp>ContractData</stp>
        <stp>ZSES3X25</stp>
        <stp>Low</stp>
        <stp/>
        <stp>T</stp>
        <tr r="E68" s="2"/>
      </tp>
      <tp>
        <v>-15.25</v>
        <stp/>
        <stp>ContractData</stp>
        <stp>ZSES3X25</stp>
        <stp>Bid</stp>
        <stp/>
        <stp>T</stp>
        <tr r="R60" s="2"/>
        <tr r="R60" s="2"/>
      </tp>
      <tp>
        <v>-41.5</v>
        <stp/>
        <stp>ContractData</stp>
        <stp>ZSES3X24</stp>
        <stp>Bid</stp>
        <stp/>
        <stp>T</stp>
        <tr r="K60" s="2"/>
        <tr r="K60" s="2"/>
      </tp>
      <tp>
        <v>-34.75</v>
        <stp/>
        <stp>ContractData</stp>
        <stp>ZSES3X24</stp>
        <stp>Ask</stp>
        <stp/>
        <stp>T</stp>
        <tr r="K59" s="2"/>
        <tr r="K59" s="2"/>
      </tp>
      <tp>
        <v>-12.75</v>
        <stp/>
        <stp>ContractData</stp>
        <stp>ZSES3X25</stp>
        <stp>Ask</stp>
        <stp/>
        <stp>T</stp>
        <tr r="R59" s="2"/>
        <tr r="R59" s="2"/>
      </tp>
      <tp t="s">
        <v/>
        <stp/>
        <stp>ContractData</stp>
        <stp>ZSES3U25</stp>
        <stp>Low</stp>
        <stp/>
        <stp>T</stp>
        <tr r="E67" s="2"/>
      </tp>
      <tp t="s">
        <v/>
        <stp/>
        <stp>ContractData</stp>
        <stp>ZSES3Q25</stp>
        <stp>Low</stp>
        <stp/>
        <stp>T</stp>
        <tr r="E66" s="2"/>
      </tp>
      <tp>
        <v>14.75</v>
        <stp/>
        <stp>ContractData</stp>
        <stp>ZSES2N25</stp>
        <stp>Low</stp>
        <stp/>
        <stp>T</stp>
        <tr r="E49" s="2"/>
      </tp>
      <tp t="s">
        <v/>
        <stp/>
        <stp>ContractData</stp>
        <stp>ZSES2N26</stp>
        <stp>Low</stp>
        <stp/>
        <stp>T</stp>
        <tr r="E56" s="2"/>
      </tp>
      <tp>
        <v>-24.25</v>
        <stp/>
        <stp>ContractData</stp>
        <stp>ZSES2F25</stp>
        <stp>Ask</stp>
        <stp/>
        <stp>T</stp>
        <tr r="L43" s="2"/>
        <tr r="L43" s="2"/>
      </tp>
      <tp>
        <v>-3.75</v>
        <stp/>
        <stp>ContractData</stp>
        <stp>ZSES2F26</stp>
        <stp>Ask</stp>
        <stp/>
        <stp>T</stp>
        <tr r="S43" s="2"/>
        <tr r="S43" s="2"/>
      </tp>
      <tp>
        <v>-9.75</v>
        <stp/>
        <stp>ContractData</stp>
        <stp>ZSES2K25</stp>
        <stp>Low</stp>
        <stp/>
        <stp>T</stp>
        <tr r="E48" s="2"/>
      </tp>
      <tp t="s">
        <v/>
        <stp/>
        <stp>ContractData</stp>
        <stp>ZSES2K26</stp>
        <stp>Low</stp>
        <stp/>
        <stp>T</stp>
        <tr r="E55" s="2"/>
      </tp>
      <tp>
        <v>-24.75</v>
        <stp/>
        <stp>ContractData</stp>
        <stp>ZSES2H25</stp>
        <stp>Low</stp>
        <stp/>
        <stp>T</stp>
        <tr r="E47" s="2"/>
      </tp>
      <tp>
        <v>-13.75</v>
        <stp/>
        <stp>ContractData</stp>
        <stp>ZSES2H26</stp>
        <stp>Low</stp>
        <stp/>
        <stp>T</stp>
        <tr r="E54" s="2"/>
      </tp>
      <tp>
        <v>-6.25</v>
        <stp/>
        <stp>ContractData</stp>
        <stp>ZSES2F26</stp>
        <stp>Bid</stp>
        <stp/>
        <stp>T</stp>
        <tr r="S44" s="2"/>
        <tr r="S44" s="2"/>
      </tp>
      <tp>
        <v>-24.5</v>
        <stp/>
        <stp>ContractData</stp>
        <stp>ZSES2F25</stp>
        <stp>Bid</stp>
        <stp/>
        <stp>T</stp>
        <tr r="L44" s="2"/>
        <tr r="L44" s="2"/>
      </tp>
      <tp>
        <v>-8.75</v>
        <stp/>
        <stp>ContractData</stp>
        <stp>ZSES2K25</stp>
        <stp>Ask</stp>
        <stp/>
        <stp>T</stp>
        <tr r="N43" s="2"/>
        <tr r="N43" s="2"/>
      </tp>
      <tp t="s">
        <v/>
        <stp/>
        <stp>ContractData</stp>
        <stp>ZSES2K26</stp>
        <stp>Ask</stp>
        <stp/>
        <stp>T</stp>
        <tr r="U43" s="2"/>
      </tp>
      <tp>
        <v>-26.5</v>
        <stp/>
        <stp>ContractData</stp>
        <stp>ZSES2F25</stp>
        <stp>Low</stp>
        <stp/>
        <stp>T</stp>
        <tr r="E46" s="2"/>
      </tp>
      <tp t="s">
        <v/>
        <stp/>
        <stp>ContractData</stp>
        <stp>ZSES2F26</stp>
        <stp>Low</stp>
        <stp/>
        <stp>T</stp>
        <tr r="E53" s="2"/>
      </tp>
      <tp>
        <v>-13.5</v>
        <stp/>
        <stp>ContractData</stp>
        <stp>ZSES2H26</stp>
        <stp>Bid</stp>
        <stp/>
        <stp>T</stp>
        <tr r="T44" s="2"/>
        <tr r="T44" s="2"/>
      </tp>
      <tp>
        <v>-23.75</v>
        <stp/>
        <stp>ContractData</stp>
        <stp>ZSES2H25</stp>
        <stp>Bid</stp>
        <stp/>
        <stp>T</stp>
        <tr r="M44" s="2"/>
        <tr r="M44" s="2"/>
      </tp>
      <tp>
        <v>-23.5</v>
        <stp/>
        <stp>ContractData</stp>
        <stp>ZSES2H25</stp>
        <stp>Ask</stp>
        <stp/>
        <stp>T</stp>
        <tr r="M43" s="2"/>
        <tr r="M43" s="2"/>
      </tp>
      <tp>
        <v>-12</v>
        <stp/>
        <stp>ContractData</stp>
        <stp>ZSES2H26</stp>
        <stp>Ask</stp>
        <stp/>
        <stp>T</stp>
        <tr r="T43" s="2"/>
        <tr r="T43" s="2"/>
      </tp>
      <tp t="s">
        <v/>
        <stp/>
        <stp>ContractData</stp>
        <stp>ZSES2K26</stp>
        <stp>Bid</stp>
        <stp/>
        <stp>T</stp>
        <tr r="U44" s="2"/>
      </tp>
      <tp>
        <v>-9</v>
        <stp/>
        <stp>ContractData</stp>
        <stp>ZSES2K25</stp>
        <stp>Bid</stp>
        <stp/>
        <stp>T</stp>
        <tr r="N44" s="2"/>
        <tr r="N44" s="2"/>
      </tp>
      <tp>
        <v>17.25</v>
        <stp/>
        <stp>ContractData</stp>
        <stp>ZSES2N25</stp>
        <stp>Ask</stp>
        <stp/>
        <stp>T</stp>
        <tr r="O43" s="2"/>
        <tr r="O43" s="2"/>
      </tp>
      <tp>
        <v>17.5</v>
        <stp/>
        <stp>ContractData</stp>
        <stp>ZSES2N26</stp>
        <stp>Ask</stp>
        <stp/>
        <stp>T</stp>
        <tr r="V43" s="2"/>
        <tr r="V43" s="2"/>
      </tp>
      <tp>
        <v>9.25</v>
        <stp/>
        <stp>ContractData</stp>
        <stp>ZSES2N26</stp>
        <stp>Bid</stp>
        <stp/>
        <stp>T</stp>
        <tr r="V44" s="2"/>
        <tr r="V44" s="2"/>
      </tp>
      <tp>
        <v>17</v>
        <stp/>
        <stp>ContractData</stp>
        <stp>ZSES2N25</stp>
        <stp>Bid</stp>
        <stp/>
        <stp>T</stp>
        <tr r="O44" s="2"/>
        <tr r="O44" s="2"/>
      </tp>
      <tp>
        <v>17.25</v>
        <stp/>
        <stp>ContractData</stp>
        <stp>ZSES2Q25</stp>
        <stp>Bid</stp>
        <stp/>
        <stp>T</stp>
        <tr r="P44" s="2"/>
        <tr r="P44" s="2"/>
      </tp>
      <tp>
        <v>17.75</v>
        <stp/>
        <stp>ContractData</stp>
        <stp>ZSES2Q25</stp>
        <stp>Ask</stp>
        <stp/>
        <stp>T</stp>
        <tr r="P43" s="2"/>
        <tr r="P43" s="2"/>
      </tp>
      <tp>
        <v>-7</v>
        <stp/>
        <stp>ContractData</stp>
        <stp>ZSES2U25</stp>
        <stp>Bid</stp>
        <stp/>
        <stp>T</stp>
        <tr r="Q44" s="2"/>
        <tr r="Q44" s="2"/>
      </tp>
      <tp>
        <v>-6.25</v>
        <stp/>
        <stp>ContractData</stp>
        <stp>ZSES2U25</stp>
        <stp>Ask</stp>
        <stp/>
        <stp>T</stp>
        <tr r="Q43" s="2"/>
        <tr r="Q43" s="2"/>
      </tp>
      <tp>
        <v>-21.5</v>
        <stp/>
        <stp>ContractData</stp>
        <stp>ZSES2X24</stp>
        <stp>Low</stp>
        <stp/>
        <stp>T</stp>
        <tr r="E45" s="2"/>
      </tp>
      <tp>
        <v>-8.75</v>
        <stp/>
        <stp>ContractData</stp>
        <stp>ZSES2X25</stp>
        <stp>Low</stp>
        <stp/>
        <stp>T</stp>
        <tr r="E52" s="2"/>
      </tp>
      <tp>
        <v>-9</v>
        <stp/>
        <stp>ContractData</stp>
        <stp>ZSES2X25</stp>
        <stp>Bid</stp>
        <stp/>
        <stp>T</stp>
        <tr r="R44" s="2"/>
        <tr r="R44" s="2"/>
      </tp>
      <tp>
        <v>-28.75</v>
        <stp/>
        <stp>ContractData</stp>
        <stp>ZSES2X24</stp>
        <stp>Bid</stp>
        <stp/>
        <stp>T</stp>
        <tr r="K44" s="2"/>
        <tr r="K44" s="2"/>
      </tp>
      <tp>
        <v>-22.25</v>
        <stp/>
        <stp>ContractData</stp>
        <stp>ZSES2X24</stp>
        <stp>Ask</stp>
        <stp/>
        <stp>T</stp>
        <tr r="K43" s="2"/>
        <tr r="K43" s="2"/>
      </tp>
      <tp>
        <v>-8.5</v>
        <stp/>
        <stp>ContractData</stp>
        <stp>ZSES2X25</stp>
        <stp>Ask</stp>
        <stp/>
        <stp>T</stp>
        <tr r="R43" s="2"/>
        <tr r="R43" s="2"/>
      </tp>
      <tp>
        <v>-6.75</v>
        <stp/>
        <stp>ContractData</stp>
        <stp>ZSES2U25</stp>
        <stp>Low</stp>
        <stp/>
        <stp>T</stp>
        <tr r="E51" s="2"/>
      </tp>
      <tp>
        <v>15</v>
        <stp/>
        <stp>ContractData</stp>
        <stp>ZSES2Q25</stp>
        <stp>Low</stp>
        <stp/>
        <stp>T</stp>
        <tr r="E50" s="2"/>
      </tp>
      <tp t="s">
        <v/>
        <stp/>
        <stp>ContractData</stp>
        <stp>ZSES4K26</stp>
        <stp>Open</stp>
        <stp/>
        <stp>T</stp>
        <tr r="C87" s="2"/>
      </tp>
      <tp t="s">
        <v/>
        <stp/>
        <stp>ContractData</stp>
        <stp>ZSES5K26</stp>
        <stp>Open</stp>
        <stp/>
        <stp>T</stp>
        <tr r="C103" s="2"/>
      </tp>
      <tp t="s">
        <v/>
        <stp/>
        <stp>ContractData</stp>
        <stp>ZSES6K26</stp>
        <stp>Open</stp>
        <stp/>
        <stp>T</stp>
        <tr r="C119" s="2"/>
      </tp>
      <tp>
        <v>-7.75</v>
        <stp/>
        <stp>ContractData</stp>
        <stp>ZSES1K26</stp>
        <stp>Open</stp>
        <stp/>
        <stp>T</stp>
        <tr r="C39" s="2"/>
      </tp>
      <tp t="s">
        <v/>
        <stp/>
        <stp>ContractData</stp>
        <stp>ZSES2K26</stp>
        <stp>Open</stp>
        <stp/>
        <stp>T</stp>
        <tr r="C55" s="2"/>
      </tp>
      <tp t="s">
        <v/>
        <stp/>
        <stp>ContractData</stp>
        <stp>ZSES3K26</stp>
        <stp>Open</stp>
        <stp/>
        <stp>T</stp>
        <tr r="C71" s="2"/>
      </tp>
      <tp>
        <v>5.5</v>
        <stp/>
        <stp>ContractData</stp>
        <stp>ZSES4K25</stp>
        <stp>Open</stp>
        <stp/>
        <stp>T</stp>
        <tr r="C80" s="2"/>
      </tp>
      <tp>
        <v>-3.25</v>
        <stp/>
        <stp>ContractData</stp>
        <stp>ZSES5K25</stp>
        <stp>Open</stp>
        <stp/>
        <stp>T</stp>
        <tr r="C96" s="2"/>
      </tp>
      <tp>
        <v>-2.5</v>
        <stp/>
        <stp>ContractData</stp>
        <stp>ZSES6K25</stp>
        <stp>Open</stp>
        <stp/>
        <stp>T</stp>
        <tr r="C112" s="2"/>
      </tp>
      <tp>
        <v>-11.25</v>
        <stp/>
        <stp>ContractData</stp>
        <stp>ZSES1K25</stp>
        <stp>Open</stp>
        <stp/>
        <stp>T</stp>
        <tr r="C32" s="2"/>
      </tp>
      <tp>
        <v>-9.75</v>
        <stp/>
        <stp>ContractData</stp>
        <stp>ZSES2K25</stp>
        <stp>Open</stp>
        <stp/>
        <stp>T</stp>
        <tr r="C48" s="2"/>
      </tp>
      <tp>
        <v>5.5</v>
        <stp/>
        <stp>ContractData</stp>
        <stp>ZSES3K25</stp>
        <stp>Open</stp>
        <stp/>
        <stp>T</stp>
        <tr r="C64" s="2"/>
      </tp>
      <tp t="s">
        <v/>
        <stp/>
        <stp>ContractData</stp>
        <stp>ZSES4F26</stp>
        <stp>Open</stp>
        <stp/>
        <stp>T</stp>
        <tr r="C85" s="2"/>
      </tp>
      <tp t="s">
        <v/>
        <stp/>
        <stp>ContractData</stp>
        <stp>ZSES5F26</stp>
        <stp>Open</stp>
        <stp/>
        <stp>T</stp>
        <tr r="C101" s="2"/>
      </tp>
      <tp t="s">
        <v/>
        <stp/>
        <stp>ContractData</stp>
        <stp>ZSES6F26</stp>
        <stp>Open</stp>
        <stp/>
        <stp>T</stp>
        <tr r="C117" s="2"/>
      </tp>
      <tp>
        <v>0.5</v>
        <stp/>
        <stp>ContractData</stp>
        <stp>ZSES1F26</stp>
        <stp>Open</stp>
        <stp/>
        <stp>T</stp>
        <tr r="C37" s="2"/>
      </tp>
      <tp t="s">
        <v/>
        <stp/>
        <stp>ContractData</stp>
        <stp>ZSES2F26</stp>
        <stp>Open</stp>
        <stp/>
        <stp>T</stp>
        <tr r="C53" s="2"/>
      </tp>
      <tp t="s">
        <v/>
        <stp/>
        <stp>ContractData</stp>
        <stp>ZSES3F26</stp>
        <stp>Open</stp>
        <stp/>
        <stp>T</stp>
        <tr r="C69" s="2"/>
      </tp>
      <tp>
        <v>-36</v>
        <stp/>
        <stp>ContractData</stp>
        <stp>ZSES4F25</stp>
        <stp>Open</stp>
        <stp/>
        <stp>T</stp>
        <tr r="C78" s="2"/>
      </tp>
      <tp>
        <v>-17</v>
        <stp/>
        <stp>ContractData</stp>
        <stp>ZSES5F25</stp>
        <stp>Open</stp>
        <stp/>
        <stp>T</stp>
        <tr r="C94" s="2"/>
      </tp>
      <tp>
        <v>-20.5</v>
        <stp/>
        <stp>ContractData</stp>
        <stp>ZSES6F25</stp>
        <stp>Open</stp>
        <stp/>
        <stp>T</stp>
        <tr r="C110" s="2"/>
      </tp>
      <tp>
        <v>-13.25</v>
        <stp/>
        <stp>ContractData</stp>
        <stp>ZSES1F25</stp>
        <stp>Open</stp>
        <stp/>
        <stp>T</stp>
        <tr r="C30" s="2"/>
      </tp>
      <tp>
        <v>-26.5</v>
        <stp/>
        <stp>ContractData</stp>
        <stp>ZSES2F25</stp>
        <stp>Open</stp>
        <stp/>
        <stp>T</stp>
        <tr r="C46" s="2"/>
      </tp>
      <tp>
        <v>-37.75</v>
        <stp/>
        <stp>ContractData</stp>
        <stp>ZSES3F25</stp>
        <stp>Open</stp>
        <stp/>
        <stp>T</stp>
        <tr r="C62" s="2"/>
      </tp>
      <tp>
        <v>1064</v>
        <stp/>
        <stp>ContractData</stp>
        <stp>ZSEK26</stp>
        <stp>LastTradeorSettle</stp>
        <stp/>
        <stp>T</stp>
        <tr r="U10" s="2"/>
        <tr r="U10" s="2"/>
        <tr r="R12" s="8"/>
        <tr r="R12" s="6"/>
        <tr r="R12" s="10"/>
        <tr r="R12" s="7"/>
        <tr r="F23" s="2"/>
        <tr r="R12" s="9"/>
        <tr r="R12" s="11"/>
      </tp>
      <tp>
        <v>1051.75</v>
        <stp/>
        <stp>ContractData</stp>
        <stp>ZSEH26</stp>
        <stp>LastTradeorSettle</stp>
        <stp/>
        <stp>T</stp>
        <tr r="R11" s="9"/>
        <tr r="R11" s="6"/>
        <tr r="R11" s="7"/>
        <tr r="R11" s="10"/>
        <tr r="F22" s="2"/>
        <tr r="T10" s="2"/>
        <tr r="T10" s="2"/>
        <tr r="R11" s="8"/>
        <tr r="R11" s="11"/>
      </tp>
      <tp>
        <v>1065.75</v>
        <stp/>
        <stp>ContractData</stp>
        <stp>ZSEN26</stp>
        <stp>LastTradeorSettle</stp>
        <stp/>
        <stp>T</stp>
        <tr r="R13" s="8"/>
        <tr r="R13" s="7"/>
        <tr r="R13" s="10"/>
        <tr r="F24" s="2"/>
        <tr r="R13" s="9"/>
        <tr r="R13" s="6"/>
        <tr r="V10" s="2"/>
        <tr r="V10" s="2"/>
        <tr r="R13" s="11"/>
      </tp>
      <tp>
        <v>1052.25</v>
        <stp/>
        <stp>ContractData</stp>
        <stp>ZSEF26</stp>
        <stp>LastTradeorSettle</stp>
        <stp/>
        <stp>T</stp>
        <tr r="R10" s="11"/>
        <tr r="R10" s="10"/>
        <tr r="R10" s="8"/>
        <tr r="R10" s="7"/>
        <tr r="R10" s="9"/>
        <tr r="F21" s="2"/>
        <tr r="S10" s="2"/>
        <tr r="S10" s="2"/>
        <tr r="R10" s="6"/>
      </tp>
      <tp>
        <v>1017.25</v>
        <stp/>
        <stp>ContractData</stp>
        <stp>ZSEX24</stp>
        <stp>LastTradeorSettle</stp>
        <stp/>
        <stp>T</stp>
        <tr r="K10" s="2"/>
        <tr r="K10" s="2"/>
        <tr r="F9" s="2"/>
        <tr r="R2" s="11"/>
        <tr r="F13" s="2"/>
        <tr r="R2" s="6"/>
        <tr r="R2" s="7"/>
        <tr r="R2" s="8"/>
        <tr r="R2" s="10"/>
        <tr r="R2" s="9"/>
      </tp>
      <tp>
        <v>1051.25</v>
        <stp/>
        <stp>ContractData</stp>
        <stp>ZSEK25</stp>
        <stp>LastTradeorSettle</stp>
        <stp/>
        <stp>T</stp>
        <tr r="F16" s="2"/>
        <tr r="R5" s="6"/>
        <tr r="N10" s="2"/>
        <tr r="N10" s="2"/>
        <tr r="R5" s="11"/>
        <tr r="R5" s="7"/>
        <tr r="R5" s="8"/>
        <tr r="R5" s="10"/>
        <tr r="R5" s="9"/>
      </tp>
      <tp>
        <v>1039</v>
        <stp/>
        <stp>ContractData</stp>
        <stp>ZSEH25</stp>
        <stp>LastTradeorSettle</stp>
        <stp/>
        <stp>T</stp>
        <tr r="R4" s="11"/>
        <tr r="F15" s="2"/>
        <tr r="R4" s="6"/>
        <tr r="M10" s="2"/>
        <tr r="M10" s="2"/>
        <tr r="R4" s="8"/>
        <tr r="R4" s="7"/>
        <tr r="R4" s="9"/>
        <tr r="R4" s="10"/>
      </tp>
      <tp>
        <v>1062.5</v>
        <stp/>
        <stp>ContractData</stp>
        <stp>ZSEN25</stp>
        <stp>LastTradeorSettle</stp>
        <stp/>
        <stp>T</stp>
        <tr r="R6" s="6"/>
        <tr r="R6" s="8"/>
        <tr r="R6" s="7"/>
        <tr r="F17" s="2"/>
        <tr r="R6" s="9"/>
        <tr r="O10" s="2"/>
        <tr r="O10" s="2"/>
        <tr r="R6" s="10"/>
        <tr r="R6" s="11"/>
      </tp>
      <tp>
        <v>1027.25</v>
        <stp/>
        <stp>ContractData</stp>
        <stp>ZSEF25</stp>
        <stp>LastTradeorSettle</stp>
        <stp/>
        <stp>T</stp>
        <tr r="F14" s="2"/>
        <tr r="R3" s="6"/>
        <tr r="L10" s="2"/>
        <tr r="L10" s="2"/>
        <tr r="R3" s="9"/>
        <tr r="R3" s="7"/>
        <tr r="R3" s="8"/>
        <tr r="R3" s="10"/>
        <tr r="R3" s="11"/>
      </tp>
      <tp>
        <v>1043</v>
        <stp/>
        <stp>ContractData</stp>
        <stp>ZSEX25</stp>
        <stp>LastTradeorSettle</stp>
        <stp/>
        <stp>T</stp>
        <tr r="R9" s="6"/>
        <tr r="R9" s="10"/>
        <tr r="R9" s="7"/>
        <tr r="R9" s="11"/>
        <tr r="R9" s="8"/>
        <tr r="R10" s="2"/>
        <tr r="R10" s="2"/>
        <tr r="F20" s="2"/>
        <tr r="R9" s="9"/>
      </tp>
      <tp>
        <v>1060.5</v>
        <stp/>
        <stp>ContractData</stp>
        <stp>ZSEQ25</stp>
        <stp>LastTradeorSettle</stp>
        <stp/>
        <stp>T</stp>
        <tr r="R7" s="9"/>
        <tr r="F18" s="2"/>
        <tr r="R7" s="8"/>
        <tr r="R7" s="6"/>
        <tr r="P10" s="2"/>
        <tr r="P10" s="2"/>
        <tr r="R7" s="7"/>
        <tr r="R7" s="11"/>
        <tr r="R7" s="10"/>
      </tp>
      <tp>
        <v>1046</v>
        <stp/>
        <stp>ContractData</stp>
        <stp>ZSEU25</stp>
        <stp>LastTradeorSettle</stp>
        <stp/>
        <stp>T</stp>
        <tr r="F19" s="2"/>
        <tr r="R8" s="6"/>
        <tr r="Q10" s="2"/>
        <tr r="Q10" s="2"/>
        <tr r="R8" s="7"/>
        <tr r="R8" s="11"/>
        <tr r="R8" s="10"/>
        <tr r="R8" s="9"/>
        <tr r="R8" s="8"/>
      </tp>
      <tp>
        <v>-24</v>
        <stp/>
        <stp>ContractData</stp>
        <stp>ZSES2F25</stp>
        <stp>High</stp>
        <stp/>
        <stp>T</stp>
        <tr r="D46" s="2"/>
      </tp>
      <tp>
        <v>-35</v>
        <stp/>
        <stp>ContractData</stp>
        <stp>ZSES3F25</stp>
        <stp>High</stp>
        <stp/>
        <stp>T</stp>
        <tr r="D62" s="2"/>
      </tp>
      <tp>
        <v>-11.75</v>
        <stp/>
        <stp>ContractData</stp>
        <stp>ZSES1F25</stp>
        <stp>High</stp>
        <stp/>
        <stp>T</stp>
        <tr r="D30" s="2"/>
      </tp>
      <tp>
        <v>-13.25</v>
        <stp/>
        <stp>ContractData</stp>
        <stp>ZSES6F25</stp>
        <stp>High</stp>
        <stp/>
        <stp>T</stp>
        <tr r="D110" s="2"/>
      </tp>
      <tp>
        <v>-32.5</v>
        <stp/>
        <stp>ContractData</stp>
        <stp>ZSES4F25</stp>
        <stp>High</stp>
        <stp/>
        <stp>T</stp>
        <tr r="D78" s="2"/>
      </tp>
      <tp>
        <v>-17</v>
        <stp/>
        <stp>ContractData</stp>
        <stp>ZSES5F25</stp>
        <stp>High</stp>
        <stp/>
        <stp>T</stp>
        <tr r="D94" s="2"/>
      </tp>
      <tp t="s">
        <v/>
        <stp/>
        <stp>ContractData</stp>
        <stp>ZSES2F26</stp>
        <stp>High</stp>
        <stp/>
        <stp>T</stp>
        <tr r="D53" s="2"/>
      </tp>
      <tp t="s">
        <v/>
        <stp/>
        <stp>ContractData</stp>
        <stp>ZSES3F26</stp>
        <stp>High</stp>
        <stp/>
        <stp>T</stp>
        <tr r="D69" s="2"/>
      </tp>
      <tp>
        <v>2</v>
        <stp/>
        <stp>ContractData</stp>
        <stp>ZSES1F26</stp>
        <stp>High</stp>
        <stp/>
        <stp>T</stp>
        <tr r="D37" s="2"/>
      </tp>
      <tp t="s">
        <v/>
        <stp/>
        <stp>ContractData</stp>
        <stp>ZSES6F26</stp>
        <stp>High</stp>
        <stp/>
        <stp>T</stp>
        <tr r="D117" s="2"/>
      </tp>
      <tp t="s">
        <v/>
        <stp/>
        <stp>ContractData</stp>
        <stp>ZSES4F26</stp>
        <stp>High</stp>
        <stp/>
        <stp>T</stp>
        <tr r="D85" s="2"/>
      </tp>
      <tp t="s">
        <v/>
        <stp/>
        <stp>ContractData</stp>
        <stp>ZSES5F26</stp>
        <stp>High</stp>
        <stp/>
        <stp>T</stp>
        <tr r="D101" s="2"/>
      </tp>
      <tp t="s">
        <v/>
        <stp/>
        <stp>ContractData</stp>
        <stp>ZSES6F26</stp>
        <stp>NetLastTradeToday</stp>
        <stp/>
        <stp>T</stp>
        <tr r="G117" s="2"/>
        <tr r="H117" s="2"/>
      </tp>
      <tp t="s">
        <v/>
        <stp/>
        <stp>ContractData</stp>
        <stp>ZSES6K26</stp>
        <stp>NetLastTradeToday</stp>
        <stp/>
        <stp>T</stp>
        <tr r="G119" s="2"/>
        <tr r="H119" s="2"/>
      </tp>
      <tp t="s">
        <v/>
        <stp/>
        <stp>ContractData</stp>
        <stp>ZSES6H26</stp>
        <stp>NetLastTradeToday</stp>
        <stp/>
        <stp>T</stp>
        <tr r="H118" s="2"/>
        <tr r="G118" s="2"/>
      </tp>
      <tp t="s">
        <v/>
        <stp/>
        <stp>ContractData</stp>
        <stp>ZSES6N26</stp>
        <stp>NetLastTradeToday</stp>
        <stp/>
        <stp>T</stp>
        <tr r="G120" s="2"/>
        <tr r="H120" s="2"/>
      </tp>
      <tp t="s">
        <v/>
        <stp/>
        <stp>ContractData</stp>
        <stp>ZSES5F26</stp>
        <stp>NetLastTradeToday</stp>
        <stp/>
        <stp>T</stp>
        <tr r="G101" s="2"/>
        <tr r="H101" s="2"/>
      </tp>
      <tp t="s">
        <v/>
        <stp/>
        <stp>ContractData</stp>
        <stp>ZSES5K26</stp>
        <stp>NetLastTradeToday</stp>
        <stp/>
        <stp>T</stp>
        <tr r="H103" s="2"/>
        <tr r="G103" s="2"/>
      </tp>
      <tp t="s">
        <v/>
        <stp/>
        <stp>ContractData</stp>
        <stp>ZSES5H26</stp>
        <stp>NetLastTradeToday</stp>
        <stp/>
        <stp>T</stp>
        <tr r="G102" s="2"/>
        <tr r="H102" s="2"/>
      </tp>
      <tp t="s">
        <v/>
        <stp/>
        <stp>ContractData</stp>
        <stp>ZSES5N26</stp>
        <stp>NetLastTradeToday</stp>
        <stp/>
        <stp>T</stp>
        <tr r="G104" s="2"/>
        <tr r="H104" s="2"/>
      </tp>
      <tp t="s">
        <v/>
        <stp/>
        <stp>ContractData</stp>
        <stp>ZSES4F26</stp>
        <stp>NetLastTradeToday</stp>
        <stp/>
        <stp>T</stp>
        <tr r="G85" s="2"/>
        <tr r="H85" s="2"/>
      </tp>
      <tp t="s">
        <v/>
        <stp/>
        <stp>ContractData</stp>
        <stp>ZSES4K26</stp>
        <stp>NetLastTradeToday</stp>
        <stp/>
        <stp>T</stp>
        <tr r="H87" s="2"/>
        <tr r="G87" s="2"/>
      </tp>
      <tp t="s">
        <v/>
        <stp/>
        <stp>ContractData</stp>
        <stp>ZSES4H26</stp>
        <stp>NetLastTradeToday</stp>
        <stp/>
        <stp>T</stp>
        <tr r="G86" s="2"/>
        <tr r="H86" s="2"/>
      </tp>
      <tp t="s">
        <v/>
        <stp/>
        <stp>ContractData</stp>
        <stp>ZSES4N26</stp>
        <stp>NetLastTradeToday</stp>
        <stp/>
        <stp>T</stp>
        <tr r="H88" s="2"/>
        <tr r="G88" s="2"/>
      </tp>
      <tp t="s">
        <v/>
        <stp/>
        <stp>ContractData</stp>
        <stp>ZSES3F26</stp>
        <stp>NetLastTradeToday</stp>
        <stp/>
        <stp>T</stp>
        <tr r="G69" s="2"/>
        <tr r="H69" s="2"/>
      </tp>
      <tp t="s">
        <v/>
        <stp/>
        <stp>ContractData</stp>
        <stp>ZSES3K26</stp>
        <stp>NetLastTradeToday</stp>
        <stp/>
        <stp>T</stp>
        <tr r="G71" s="2"/>
        <tr r="H71" s="2"/>
      </tp>
      <tp t="s">
        <v/>
        <stp/>
        <stp>ContractData</stp>
        <stp>ZSES3H26</stp>
        <stp>NetLastTradeToday</stp>
        <stp/>
        <stp>T</stp>
        <tr r="G70" s="2"/>
        <tr r="H70" s="2"/>
      </tp>
      <tp>
        <v>0</v>
        <stp/>
        <stp>ContractData</stp>
        <stp>ZSES3N26</stp>
        <stp>NetLastTradeToday</stp>
        <stp/>
        <stp>T</stp>
        <tr r="H72" s="2"/>
        <tr r="G72" s="2"/>
      </tp>
      <tp t="s">
        <v/>
        <stp/>
        <stp>ContractData</stp>
        <stp>ZSES2F26</stp>
        <stp>NetLastTradeToday</stp>
        <stp/>
        <stp>T</stp>
        <tr r="H53" s="2"/>
        <tr r="G53" s="2"/>
      </tp>
      <tp t="s">
        <v/>
        <stp/>
        <stp>ContractData</stp>
        <stp>ZSES2K26</stp>
        <stp>NetLastTradeToday</stp>
        <stp/>
        <stp>T</stp>
        <tr r="G55" s="2"/>
        <tr r="H55" s="2"/>
      </tp>
      <tp>
        <v>1.25</v>
        <stp/>
        <stp>ContractData</stp>
        <stp>ZSES2H26</stp>
        <stp>NetLastTradeToday</stp>
        <stp/>
        <stp>T</stp>
        <tr r="H54" s="2"/>
        <tr r="G54" s="2"/>
      </tp>
      <tp t="s">
        <v/>
        <stp/>
        <stp>ContractData</stp>
        <stp>ZSES2N26</stp>
        <stp>NetLastTradeToday</stp>
        <stp/>
        <stp>T</stp>
        <tr r="H56" s="2"/>
        <tr r="G56" s="2"/>
      </tp>
      <tp>
        <v>0.25</v>
        <stp/>
        <stp>ContractData</stp>
        <stp>ZSES1F26</stp>
        <stp>NetLastTradeToday</stp>
        <stp/>
        <stp>T</stp>
        <tr r="H37" s="2"/>
        <tr r="G37" s="2"/>
      </tp>
      <tp>
        <v>0.5</v>
        <stp/>
        <stp>ContractData</stp>
        <stp>ZSES1K26</stp>
        <stp>NetLastTradeToday</stp>
        <stp/>
        <stp>T</stp>
        <tr r="G39" s="2"/>
        <tr r="H39" s="2"/>
      </tp>
      <tp>
        <v>0.5</v>
        <stp/>
        <stp>ContractData</stp>
        <stp>ZSES1H26</stp>
        <stp>NetLastTradeToday</stp>
        <stp/>
        <stp>T</stp>
        <tr r="H38" s="2"/>
        <tr r="G38" s="2"/>
      </tp>
      <tp t="s">
        <v/>
        <stp/>
        <stp>ContractData</stp>
        <stp>ZSES1N26</stp>
        <stp>NetLastTradeToday</stp>
        <stp/>
        <stp>T</stp>
        <tr r="G40" s="2"/>
        <tr r="H40" s="2"/>
      </tp>
      <tp t="s">
        <v/>
        <stp/>
        <stp>ContractData</stp>
        <stp>ZSES6X24</stp>
        <stp>NetLastTradeToday</stp>
        <stp/>
        <stp>T</stp>
        <tr r="H109" s="2"/>
        <tr r="G109" s="2"/>
      </tp>
      <tp t="s">
        <v/>
        <stp/>
        <stp>ContractData</stp>
        <stp>ZSES5X24</stp>
        <stp>NetLastTradeToday</stp>
        <stp/>
        <stp>T</stp>
        <tr r="H93" s="2"/>
        <tr r="G93" s="2"/>
      </tp>
      <tp t="s">
        <v/>
        <stp/>
        <stp>ContractData</stp>
        <stp>ZSES4X24</stp>
        <stp>NetLastTradeToday</stp>
        <stp/>
        <stp>T</stp>
        <tr r="G77" s="2"/>
        <tr r="H77" s="2"/>
      </tp>
      <tp t="s">
        <v/>
        <stp/>
        <stp>ContractData</stp>
        <stp>ZSES3X24</stp>
        <stp>NetLastTradeToday</stp>
        <stp/>
        <stp>T</stp>
        <tr r="G61" s="2"/>
        <tr r="H61" s="2"/>
      </tp>
      <tp>
        <v>5.25</v>
        <stp/>
        <stp>ContractData</stp>
        <stp>ZSES2X24</stp>
        <stp>NetLastTradeToday</stp>
        <stp/>
        <stp>T</stp>
        <tr r="H45" s="2"/>
        <tr r="G45" s="2"/>
      </tp>
      <tp>
        <v>1</v>
        <stp/>
        <stp>ContractData</stp>
        <stp>ZSES1X24</stp>
        <stp>NetLastTradeToday</stp>
        <stp/>
        <stp>T</stp>
        <tr r="G29" s="2"/>
        <tr r="H29" s="2"/>
      </tp>
      <tp t="s">
        <v/>
        <stp/>
        <stp>ContractData</stp>
        <stp>ZSES6Q25</stp>
        <stp>NetLastTradeToday</stp>
        <stp/>
        <stp>T</stp>
        <tr r="H114" s="2"/>
        <tr r="G114" s="2"/>
      </tp>
      <tp t="s">
        <v/>
        <stp/>
        <stp>ContractData</stp>
        <stp>ZSES6U25</stp>
        <stp>NetLastTradeToday</stp>
        <stp/>
        <stp>T</stp>
        <tr r="H115" s="2"/>
        <tr r="G115" s="2"/>
      </tp>
      <tp t="s">
        <v/>
        <stp/>
        <stp>ContractData</stp>
        <stp>ZSES6X25</stp>
        <stp>NetLastTradeToday</stp>
        <stp/>
        <stp>T</stp>
        <tr r="H116" s="2"/>
        <tr r="G116" s="2"/>
      </tp>
      <tp>
        <v>6.5</v>
        <stp/>
        <stp>ContractData</stp>
        <stp>ZSES6F25</stp>
        <stp>NetLastTradeToday</stp>
        <stp/>
        <stp>T</stp>
        <tr r="H110" s="2"/>
        <tr r="G110" s="2"/>
      </tp>
      <tp>
        <v>2.5</v>
        <stp/>
        <stp>ContractData</stp>
        <stp>ZSES6K25</stp>
        <stp>NetLastTradeToday</stp>
        <stp/>
        <stp>T</stp>
        <tr r="G112" s="2"/>
        <tr r="H112" s="2"/>
      </tp>
      <tp>
        <v>7</v>
        <stp/>
        <stp>ContractData</stp>
        <stp>ZSES6H25</stp>
        <stp>NetLastTradeToday</stp>
        <stp/>
        <stp>T</stp>
        <tr r="G111" s="2"/>
        <tr r="H111" s="2"/>
      </tp>
      <tp t="s">
        <v/>
        <stp/>
        <stp>ContractData</stp>
        <stp>ZSES6N25</stp>
        <stp>NetLastTradeToday</stp>
        <stp/>
        <stp>T</stp>
        <tr r="G113" s="2"/>
        <tr r="H113" s="2"/>
      </tp>
      <tp t="s">
        <v/>
        <stp/>
        <stp>ContractData</stp>
        <stp>ZSES5Q25</stp>
        <stp>NetLastTradeToday</stp>
        <stp/>
        <stp>T</stp>
        <tr r="H98" s="2"/>
        <tr r="G98" s="2"/>
      </tp>
      <tp t="s">
        <v/>
        <stp/>
        <stp>ContractData</stp>
        <stp>ZSES5U25</stp>
        <stp>NetLastTradeToday</stp>
        <stp/>
        <stp>T</stp>
        <tr r="H99" s="2"/>
        <tr r="G99" s="2"/>
      </tp>
      <tp t="s">
        <v/>
        <stp/>
        <stp>ContractData</stp>
        <stp>ZSES5X25</stp>
        <stp>NetLastTradeToday</stp>
        <stp/>
        <stp>T</stp>
        <tr r="H100" s="2"/>
        <tr r="G100" s="2"/>
      </tp>
      <tp>
        <v>5.75</v>
        <stp/>
        <stp>ContractData</stp>
        <stp>ZSES5F25</stp>
        <stp>NetLastTradeToday</stp>
        <stp/>
        <stp>T</stp>
        <tr r="G94" s="2"/>
        <tr r="H94" s="2"/>
      </tp>
      <tp>
        <v>4.25</v>
        <stp/>
        <stp>ContractData</stp>
        <stp>ZSES5K25</stp>
        <stp>NetLastTradeToday</stp>
        <stp/>
        <stp>T</stp>
        <tr r="H96" s="2"/>
        <tr r="G96" s="2"/>
      </tp>
      <tp>
        <v>5</v>
        <stp/>
        <stp>ContractData</stp>
        <stp>ZSES5H25</stp>
        <stp>NetLastTradeToday</stp>
        <stp/>
        <stp>T</stp>
        <tr r="G95" s="2"/>
        <tr r="H95" s="2"/>
      </tp>
      <tp t="s">
        <v/>
        <stp/>
        <stp>ContractData</stp>
        <stp>ZSES5N25</stp>
        <stp>NetLastTradeToday</stp>
        <stp/>
        <stp>T</stp>
        <tr r="H97" s="2"/>
        <tr r="G97" s="2"/>
      </tp>
      <tp t="s">
        <v/>
        <stp/>
        <stp>ContractData</stp>
        <stp>ZSES4Q25</stp>
        <stp>NetLastTradeToday</stp>
        <stp/>
        <stp>T</stp>
        <tr r="G82" s="2"/>
        <tr r="H82" s="2"/>
      </tp>
      <tp t="s">
        <v/>
        <stp/>
        <stp>ContractData</stp>
        <stp>ZSES4U25</stp>
        <stp>NetLastTradeToday</stp>
        <stp/>
        <stp>T</stp>
        <tr r="G83" s="2"/>
        <tr r="H83" s="2"/>
      </tp>
      <tp>
        <v>1</v>
        <stp/>
        <stp>ContractData</stp>
        <stp>ZSES4X25</stp>
        <stp>NetLastTradeToday</stp>
        <stp/>
        <stp>T</stp>
        <tr r="G84" s="2"/>
        <tr r="H84" s="2"/>
      </tp>
      <tp>
        <v>3.75</v>
        <stp/>
        <stp>ContractData</stp>
        <stp>ZSES4F25</stp>
        <stp>NetLastTradeToday</stp>
        <stp/>
        <stp>T</stp>
        <tr r="G78" s="2"/>
        <tr r="H78" s="2"/>
      </tp>
      <tp>
        <v>4.25</v>
        <stp/>
        <stp>ContractData</stp>
        <stp>ZSES4K25</stp>
        <stp>NetLastTradeToday</stp>
        <stp/>
        <stp>T</stp>
        <tr r="G80" s="2"/>
        <tr r="H80" s="2"/>
      </tp>
      <tp>
        <v>4.25</v>
        <stp/>
        <stp>ContractData</stp>
        <stp>ZSES4H25</stp>
        <stp>NetLastTradeToday</stp>
        <stp/>
        <stp>T</stp>
        <tr r="G79" s="2"/>
        <tr r="H79" s="2"/>
      </tp>
      <tp t="s">
        <v/>
        <stp/>
        <stp>ContractData</stp>
        <stp>ZSES4N25</stp>
        <stp>NetLastTradeToday</stp>
        <stp/>
        <stp>T</stp>
        <tr r="H81" s="2"/>
        <tr r="G81" s="2"/>
      </tp>
      <tp t="s">
        <v/>
        <stp/>
        <stp>ContractData</stp>
        <stp>ZSES3Q25</stp>
        <stp>NetLastTradeToday</stp>
        <stp/>
        <stp>T</stp>
        <tr r="H66" s="2"/>
        <tr r="G66" s="2"/>
      </tp>
      <tp t="s">
        <v/>
        <stp/>
        <stp>ContractData</stp>
        <stp>ZSES3U25</stp>
        <stp>NetLastTradeToday</stp>
        <stp/>
        <stp>T</stp>
        <tr r="G67" s="2"/>
        <tr r="H67" s="2"/>
      </tp>
      <tp t="s">
        <v/>
        <stp/>
        <stp>ContractData</stp>
        <stp>ZSES3X25</stp>
        <stp>NetLastTradeToday</stp>
        <stp/>
        <stp>T</stp>
        <tr r="G68" s="2"/>
        <tr r="H68" s="2"/>
      </tp>
      <tp>
        <v>2.75</v>
        <stp/>
        <stp>ContractData</stp>
        <stp>ZSES3F25</stp>
        <stp>NetLastTradeToday</stp>
        <stp/>
        <stp>T</stp>
        <tr r="G62" s="2"/>
        <tr r="H62" s="2"/>
      </tp>
      <tp>
        <v>3.5</v>
        <stp/>
        <stp>ContractData</stp>
        <stp>ZSES3K25</stp>
        <stp>NetLastTradeToday</stp>
        <stp/>
        <stp>T</stp>
        <tr r="H64" s="2"/>
        <tr r="G64" s="2"/>
      </tp>
      <tp>
        <v>2.5</v>
        <stp/>
        <stp>ContractData</stp>
        <stp>ZSES3H25</stp>
        <stp>NetLastTradeToday</stp>
        <stp/>
        <stp>T</stp>
        <tr r="G63" s="2"/>
        <tr r="H63" s="2"/>
      </tp>
      <tp>
        <v>4</v>
        <stp/>
        <stp>ContractData</stp>
        <stp>ZSES3N25</stp>
        <stp>NetLastTradeToday</stp>
        <stp/>
        <stp>T</stp>
        <tr r="G65" s="2"/>
        <tr r="H65" s="2"/>
      </tp>
      <tp>
        <v>3</v>
        <stp/>
        <stp>ContractData</stp>
        <stp>ZSES2Q25</stp>
        <stp>NetLastTradeToday</stp>
        <stp/>
        <stp>T</stp>
        <tr r="H50" s="2"/>
        <tr r="G50" s="2"/>
      </tp>
      <tp>
        <v>1</v>
        <stp/>
        <stp>ContractData</stp>
        <stp>ZSES2U25</stp>
        <stp>NetLastTradeToday</stp>
        <stp/>
        <stp>T</stp>
        <tr r="G51" s="2"/>
        <tr r="H51" s="2"/>
      </tp>
      <tp>
        <v>0.5</v>
        <stp/>
        <stp>ContractData</stp>
        <stp>ZSES2X25</stp>
        <stp>NetLastTradeToday</stp>
        <stp/>
        <stp>T</stp>
        <tr r="H52" s="2"/>
        <tr r="G52" s="2"/>
      </tp>
      <tp>
        <v>2</v>
        <stp/>
        <stp>ContractData</stp>
        <stp>ZSES2F25</stp>
        <stp>NetLastTradeToday</stp>
        <stp/>
        <stp>T</stp>
        <tr r="H46" s="2"/>
        <tr r="G46" s="2"/>
      </tp>
      <tp>
        <v>1.5</v>
        <stp/>
        <stp>ContractData</stp>
        <stp>ZSES2K25</stp>
        <stp>NetLastTradeToday</stp>
        <stp/>
        <stp>T</stp>
        <tr r="H48" s="2"/>
        <tr r="G48" s="2"/>
      </tp>
      <tp>
        <v>1.25</v>
        <stp/>
        <stp>ContractData</stp>
        <stp>ZSES2H25</stp>
        <stp>NetLastTradeToday</stp>
        <stp/>
        <stp>T</stp>
        <tr r="H47" s="2"/>
        <tr r="G47" s="2"/>
      </tp>
      <tp>
        <v>3</v>
        <stp/>
        <stp>ContractData</stp>
        <stp>ZSES2N25</stp>
        <stp>NetLastTradeToday</stp>
        <stp/>
        <stp>T</stp>
        <tr r="H49" s="2"/>
        <tr r="G49" s="2"/>
      </tp>
      <tp>
        <v>1.75</v>
        <stp/>
        <stp>ContractData</stp>
        <stp>ZSES1Q25</stp>
        <stp>NetLastTradeToday</stp>
        <stp/>
        <stp>T</stp>
        <tr r="G34" s="2"/>
        <tr r="H34" s="2"/>
      </tp>
      <tp>
        <v>1</v>
        <stp/>
        <stp>ContractData</stp>
        <stp>ZSES1U25</stp>
        <stp>NetLastTradeToday</stp>
        <stp/>
        <stp>T</stp>
        <tr r="H35" s="2"/>
        <tr r="G35" s="2"/>
      </tp>
      <tp>
        <v>0</v>
        <stp/>
        <stp>ContractData</stp>
        <stp>ZSES1X25</stp>
        <stp>NetLastTradeToday</stp>
        <stp/>
        <stp>T</stp>
        <tr r="G36" s="2"/>
        <tr r="H36" s="2"/>
      </tp>
      <tp>
        <v>1.5</v>
        <stp/>
        <stp>ContractData</stp>
        <stp>ZSES1F25</stp>
        <stp>NetLastTradeToday</stp>
        <stp/>
        <stp>T</stp>
        <tr r="G30" s="2"/>
        <tr r="H30" s="2"/>
      </tp>
      <tp>
        <v>0.5</v>
        <stp/>
        <stp>ContractData</stp>
        <stp>ZSES1K25</stp>
        <stp>NetLastTradeToday</stp>
        <stp/>
        <stp>T</stp>
        <tr r="H32" s="2"/>
        <tr r="G32" s="2"/>
      </tp>
      <tp>
        <v>0.75</v>
        <stp/>
        <stp>ContractData</stp>
        <stp>ZSES1H25</stp>
        <stp>NetLastTradeToday</stp>
        <stp/>
        <stp>T</stp>
        <tr r="G31" s="2"/>
        <tr r="H31" s="2"/>
      </tp>
      <tp>
        <v>1</v>
        <stp/>
        <stp>ContractData</stp>
        <stp>ZSES1N25</stp>
        <stp>NetLastTradeToday</stp>
        <stp/>
        <stp>T</stp>
        <tr r="H33" s="2"/>
        <tr r="G33" s="2"/>
      </tp>
      <tp>
        <v>-21.5</v>
        <stp/>
        <stp>ContractData</stp>
        <stp>ZSES2X24</stp>
        <stp>High</stp>
        <stp/>
        <stp>T</stp>
        <tr r="D45" s="2"/>
      </tp>
      <tp t="s">
        <v/>
        <stp/>
        <stp>ContractData</stp>
        <stp>ZSES3X24</stp>
        <stp>High</stp>
        <stp/>
        <stp>T</stp>
        <tr r="D61" s="2"/>
      </tp>
      <tp>
        <v>-9.25</v>
        <stp/>
        <stp>ContractData</stp>
        <stp>ZSES1X24</stp>
        <stp>High</stp>
        <stp/>
        <stp>T</stp>
        <tr r="D29" s="2"/>
      </tp>
      <tp t="s">
        <v/>
        <stp/>
        <stp>ContractData</stp>
        <stp>ZSES6X24</stp>
        <stp>High</stp>
        <stp/>
        <stp>T</stp>
        <tr r="D109" s="2"/>
      </tp>
      <tp t="s">
        <v/>
        <stp/>
        <stp>ContractData</stp>
        <stp>ZSES4X24</stp>
        <stp>High</stp>
        <stp/>
        <stp>T</stp>
        <tr r="D77" s="2"/>
      </tp>
      <tp t="s">
        <v/>
        <stp/>
        <stp>ContractData</stp>
        <stp>ZSES5X24</stp>
        <stp>High</stp>
        <stp/>
        <stp>T</stp>
        <tr r="D93" s="2"/>
      </tp>
      <tp>
        <v>-6.25</v>
        <stp/>
        <stp>ContractData</stp>
        <stp>ZSES2X25</stp>
        <stp>High</stp>
        <stp/>
        <stp>T</stp>
        <tr r="D52" s="2"/>
      </tp>
      <tp t="s">
        <v/>
        <stp/>
        <stp>ContractData</stp>
        <stp>ZSES3X25</stp>
        <stp>High</stp>
        <stp/>
        <stp>T</stp>
        <tr r="D68" s="2"/>
      </tp>
      <tp>
        <v>-8.5</v>
        <stp/>
        <stp>ContractData</stp>
        <stp>ZSES1X25</stp>
        <stp>High</stp>
        <stp/>
        <stp>T</stp>
        <tr r="D36" s="2"/>
      </tp>
      <tp t="s">
        <v/>
        <stp/>
        <stp>ContractData</stp>
        <stp>ZSES6X25</stp>
        <stp>High</stp>
        <stp/>
        <stp>T</stp>
        <tr r="D116" s="2"/>
      </tp>
      <tp>
        <v>-19.75</v>
        <stp/>
        <stp>ContractData</stp>
        <stp>ZSES4X25</stp>
        <stp>High</stp>
        <stp/>
        <stp>T</stp>
        <tr r="D84" s="2"/>
      </tp>
      <tp t="s">
        <v/>
        <stp/>
        <stp>ContractData</stp>
        <stp>ZSES5X25</stp>
        <stp>High</stp>
        <stp/>
        <stp>T</stp>
        <tr r="D100" s="2"/>
      </tp>
      <tp>
        <v>-40</v>
        <stp/>
        <stp>ContractData</stp>
        <stp>ZSES3X4</stp>
        <stp>Settlement</stp>
        <stp/>
        <stp>T</stp>
        <tr r="AK2" s="8"/>
      </tp>
      <tp>
        <v>-26.75</v>
        <stp/>
        <stp>ContractData</stp>
        <stp>ZSES2X4</stp>
        <stp>Settlement</stp>
        <stp/>
        <stp>T</stp>
        <tr r="AK2" s="7"/>
      </tp>
      <tp>
        <v>-13.5</v>
        <stp/>
        <stp>ContractData</stp>
        <stp>ZSES1X4</stp>
        <stp>Settlement</stp>
        <stp/>
        <stp>T</stp>
        <tr r="AK2" s="6"/>
      </tp>
      <tp>
        <v>-37.25</v>
        <stp/>
        <stp>ContractData</stp>
        <stp>ZSES6X4</stp>
        <stp>Settlement</stp>
        <stp/>
        <stp>T</stp>
        <tr r="AK2" s="11"/>
      </tp>
      <tp>
        <v>-50.5</v>
        <stp/>
        <stp>ContractData</stp>
        <stp>ZSES5X4</stp>
        <stp>Settlement</stp>
        <stp/>
        <stp>T</stp>
        <tr r="AK2" s="10"/>
      </tp>
      <tp>
        <v>-51.5</v>
        <stp/>
        <stp>ContractData</stp>
        <stp>ZSES4X4</stp>
        <stp>Settlement</stp>
        <stp/>
        <stp>T</stp>
        <tr r="AK2" s="9"/>
      </tp>
      <tp t="s">
        <v/>
        <stp/>
        <stp>ContractData</stp>
        <stp>ZSES4X24</stp>
        <stp>Open</stp>
        <stp/>
        <stp>T</stp>
        <tr r="C77" s="2"/>
      </tp>
      <tp t="s">
        <v/>
        <stp/>
        <stp>ContractData</stp>
        <stp>ZSES5X24</stp>
        <stp>Open</stp>
        <stp/>
        <stp>T</stp>
        <tr r="C93" s="2"/>
      </tp>
      <tp t="s">
        <v/>
        <stp/>
        <stp>ContractData</stp>
        <stp>ZSES6X24</stp>
        <stp>Open</stp>
        <stp/>
        <stp>T</stp>
        <tr r="C109" s="2"/>
      </tp>
      <tp>
        <v>-12.25</v>
        <stp/>
        <stp>ContractData</stp>
        <stp>ZSES1X24</stp>
        <stp>Open</stp>
        <stp/>
        <stp>T</stp>
        <tr r="C29" s="2"/>
      </tp>
      <tp>
        <v>-21.5</v>
        <stp/>
        <stp>ContractData</stp>
        <stp>ZSES2X24</stp>
        <stp>Open</stp>
        <stp/>
        <stp>T</stp>
        <tr r="C45" s="2"/>
      </tp>
      <tp t="s">
        <v/>
        <stp/>
        <stp>ContractData</stp>
        <stp>ZSES3X24</stp>
        <stp>Open</stp>
        <stp/>
        <stp>T</stp>
        <tr r="C61" s="2"/>
      </tp>
      <tp>
        <v>-22.5</v>
        <stp/>
        <stp>ContractData</stp>
        <stp>ZSES4X25</stp>
        <stp>Open</stp>
        <stp/>
        <stp>T</stp>
        <tr r="C84" s="2"/>
      </tp>
      <tp t="s">
        <v/>
        <stp/>
        <stp>ContractData</stp>
        <stp>ZSES5X25</stp>
        <stp>Open</stp>
        <stp/>
        <stp>T</stp>
        <tr r="C100" s="2"/>
      </tp>
      <tp t="s">
        <v/>
        <stp/>
        <stp>ContractData</stp>
        <stp>ZSES6X25</stp>
        <stp>Open</stp>
        <stp/>
        <stp>T</stp>
        <tr r="C116" s="2"/>
      </tp>
      <tp>
        <v>-9.5</v>
        <stp/>
        <stp>ContractData</stp>
        <stp>ZSES1X25</stp>
        <stp>Open</stp>
        <stp/>
        <stp>T</stp>
        <tr r="C36" s="2"/>
      </tp>
      <tp>
        <v>-8.75</v>
        <stp/>
        <stp>ContractData</stp>
        <stp>ZSES2X25</stp>
        <stp>Open</stp>
        <stp/>
        <stp>T</stp>
        <tr r="C52" s="2"/>
      </tp>
      <tp t="s">
        <v/>
        <stp/>
        <stp>ContractData</stp>
        <stp>ZSES3X25</stp>
        <stp>Open</stp>
        <stp/>
        <stp>T</stp>
        <tr r="C68" s="2"/>
      </tp>
      <tp>
        <v>-7.75</v>
        <stp/>
        <stp>ContractData</stp>
        <stp>ZSES3U5</stp>
        <stp>Settlement</stp>
        <stp/>
        <stp>T</stp>
        <tr r="AK8" s="8"/>
      </tp>
      <tp>
        <v>5.5</v>
        <stp/>
        <stp>ContractData</stp>
        <stp>ZSES3Q5</stp>
        <stp>Settlement</stp>
        <stp/>
        <stp>T</stp>
        <tr r="AK7" s="8"/>
      </tp>
      <tp>
        <v>-15.25</v>
        <stp/>
        <stp>ContractData</stp>
        <stp>ZSES3X5</stp>
        <stp>Settlement</stp>
        <stp/>
        <stp>T</stp>
        <tr r="AK9" s="8"/>
      </tp>
      <tp>
        <v>-38</v>
        <stp/>
        <stp>ContractData</stp>
        <stp>ZSES3F5</stp>
        <stp>Settlement</stp>
        <stp/>
        <stp>T</stp>
        <tr r="AK3" s="8"/>
      </tp>
      <tp>
        <v>15.75</v>
        <stp/>
        <stp>ContractData</stp>
        <stp>ZSES3N5</stp>
        <stp>Settlement</stp>
        <stp/>
        <stp>T</stp>
        <tr r="AK6" s="8"/>
      </tp>
      <tp>
        <v>2.75</v>
        <stp/>
        <stp>ContractData</stp>
        <stp>ZSES3K5</stp>
        <stp>Settlement</stp>
        <stp/>
        <stp>T</stp>
        <tr r="AK5" s="8"/>
      </tp>
      <tp>
        <v>-23.75</v>
        <stp/>
        <stp>ContractData</stp>
        <stp>ZSES3H5</stp>
        <stp>Settlement</stp>
        <stp/>
        <stp>T</stp>
        <tr r="AK4" s="8"/>
      </tp>
      <tp>
        <v>-7.75</v>
        <stp/>
        <stp>ContractData</stp>
        <stp>ZSES2U5</stp>
        <stp>Settlement</stp>
        <stp/>
        <stp>T</stp>
        <tr r="AK8" s="7"/>
      </tp>
      <tp>
        <v>14.75</v>
        <stp/>
        <stp>ContractData</stp>
        <stp>ZSES2Q5</stp>
        <stp>Settlement</stp>
        <stp/>
        <stp>T</stp>
        <tr r="AK7" s="7"/>
      </tp>
      <tp>
        <v>-9.25</v>
        <stp/>
        <stp>ContractData</stp>
        <stp>ZSES2X5</stp>
        <stp>Settlement</stp>
        <stp/>
        <stp>T</stp>
        <tr r="AK9" s="7"/>
      </tp>
      <tp>
        <v>-26.5</v>
        <stp/>
        <stp>ContractData</stp>
        <stp>ZSES2F5</stp>
        <stp>Settlement</stp>
        <stp/>
        <stp>T</stp>
        <tr r="AK3" s="7"/>
      </tp>
      <tp>
        <v>14.25</v>
        <stp/>
        <stp>ContractData</stp>
        <stp>ZSES2N5</stp>
        <stp>Settlement</stp>
        <stp/>
        <stp>T</stp>
        <tr r="AK6" s="7"/>
      </tp>
      <tp>
        <v>-10.5</v>
        <stp/>
        <stp>ContractData</stp>
        <stp>ZSES2K5</stp>
        <stp>Settlement</stp>
        <stp/>
        <stp>T</stp>
        <tr r="AK5" s="7"/>
      </tp>
      <tp>
        <v>-24.75</v>
        <stp/>
        <stp>ContractData</stp>
        <stp>ZSES2H5</stp>
        <stp>Settlement</stp>
        <stp/>
        <stp>T</stp>
        <tr r="AK4" s="7"/>
      </tp>
      <tp>
        <v>1.5</v>
        <stp/>
        <stp>ContractData</stp>
        <stp>ZSES1U5</stp>
        <stp>Settlement</stp>
        <stp/>
        <stp>T</stp>
        <tr r="AK8" s="6"/>
      </tp>
      <tp>
        <v>13.25</v>
        <stp/>
        <stp>ContractData</stp>
        <stp>ZSES1Q5</stp>
        <stp>Settlement</stp>
        <stp/>
        <stp>T</stp>
        <tr r="AK7" s="6"/>
      </tp>
      <tp>
        <v>-9.25</v>
        <stp/>
        <stp>ContractData</stp>
        <stp>ZSES1X5</stp>
        <stp>Settlement</stp>
        <stp/>
        <stp>T</stp>
        <tr r="AK9" s="6"/>
      </tp>
      <tp>
        <v>-13.25</v>
        <stp/>
        <stp>ContractData</stp>
        <stp>ZSES1F5</stp>
        <stp>Settlement</stp>
        <stp/>
        <stp>T</stp>
        <tr r="AK3" s="6"/>
      </tp>
      <tp>
        <v>1</v>
        <stp/>
        <stp>ContractData</stp>
        <stp>ZSES1N5</stp>
        <stp>Settlement</stp>
        <stp/>
        <stp>T</stp>
        <tr r="AK6" s="6"/>
      </tp>
      <tp>
        <v>-11.5</v>
        <stp/>
        <stp>ContractData</stp>
        <stp>ZSES1K5</stp>
        <stp>Settlement</stp>
        <stp/>
        <stp>T</stp>
        <tr r="AK5" s="6"/>
      </tp>
      <tp>
        <v>-13.25</v>
        <stp/>
        <stp>ContractData</stp>
        <stp>ZSES1H5</stp>
        <stp>Settlement</stp>
        <stp/>
        <stp>T</stp>
        <tr r="AK4" s="6"/>
      </tp>
      <tp>
        <v>-18.25</v>
        <stp/>
        <stp>ContractData</stp>
        <stp>ZSES6U5</stp>
        <stp>Settlement</stp>
        <stp/>
        <stp>T</stp>
        <tr r="AK8" s="11"/>
      </tp>
      <tp>
        <v>-8.5</v>
        <stp/>
        <stp>ContractData</stp>
        <stp>ZSES6Q5</stp>
        <stp>Settlement</stp>
        <stp/>
        <stp>T</stp>
        <tr r="AK7" s="11"/>
      </tp>
      <tp>
        <v>-7</v>
        <stp/>
        <stp>ContractData</stp>
        <stp>ZSES6X5</stp>
        <stp>Settlement</stp>
        <stp/>
        <stp>T</stp>
        <tr r="AK9" s="11"/>
      </tp>
      <tp>
        <v>-22.25</v>
        <stp/>
        <stp>ContractData</stp>
        <stp>ZSES6F5</stp>
        <stp>Settlement</stp>
        <stp/>
        <stp>T</stp>
        <tr r="AK3" s="11"/>
      </tp>
      <tp>
        <v>0.5</v>
        <stp/>
        <stp>ContractData</stp>
        <stp>ZSES6N5</stp>
        <stp>Settlement</stp>
        <stp/>
        <stp>T</stp>
        <tr r="AK6" s="11"/>
      </tp>
      <tp>
        <v>-5</v>
        <stp/>
        <stp>ContractData</stp>
        <stp>ZSES6K5</stp>
        <stp>Settlement</stp>
        <stp/>
        <stp>T</stp>
        <tr r="AK5" s="11"/>
      </tp>
      <tp>
        <v>-18.25</v>
        <stp/>
        <stp>ContractData</stp>
        <stp>ZSES6H5</stp>
        <stp>Settlement</stp>
        <stp/>
        <stp>T</stp>
        <tr r="AK4" s="11"/>
      </tp>
      <tp>
        <v>-21.75</v>
        <stp/>
        <stp>ContractData</stp>
        <stp>ZSES5U5</stp>
        <stp>Settlement</stp>
        <stp/>
        <stp>T</stp>
        <tr r="AK8" s="10"/>
      </tp>
      <tp>
        <v>-0.5</v>
        <stp/>
        <stp>ContractData</stp>
        <stp>ZSES5Q5</stp>
        <stp>Settlement</stp>
        <stp/>
        <stp>T</stp>
        <tr r="AK7" s="10"/>
      </tp>
      <tp>
        <v>-19.75</v>
        <stp/>
        <stp>ContractData</stp>
        <stp>ZSES5X5</stp>
        <stp>Settlement</stp>
        <stp/>
        <stp>T</stp>
        <tr r="AK9" s="10"/>
      </tp>
      <tp>
        <v>-23.75</v>
        <stp/>
        <stp>ContractData</stp>
        <stp>ZSES5F5</stp>
        <stp>Settlement</stp>
        <stp/>
        <stp>T</stp>
        <tr r="AK3" s="10"/>
      </tp>
      <tp>
        <v>6.5</v>
        <stp/>
        <stp>ContractData</stp>
        <stp>ZSES5N5</stp>
        <stp>Settlement</stp>
        <stp/>
        <stp>T</stp>
        <tr r="AK6" s="10"/>
      </tp>
      <tp>
        <v>-5</v>
        <stp/>
        <stp>ContractData</stp>
        <stp>ZSES5K5</stp>
        <stp>Settlement</stp>
        <stp/>
        <stp>T</stp>
        <tr r="AK5" s="10"/>
      </tp>
      <tp>
        <v>-9</v>
        <stp/>
        <stp>ContractData</stp>
        <stp>ZSES5H5</stp>
        <stp>Settlement</stp>
        <stp/>
        <stp>T</stp>
        <tr r="AK4" s="10"/>
      </tp>
      <tp>
        <v>-13.75</v>
        <stp/>
        <stp>ContractData</stp>
        <stp>ZSES4U5</stp>
        <stp>Settlement</stp>
        <stp/>
        <stp>T</stp>
        <tr r="AK8" s="9"/>
      </tp>
      <tp>
        <v>5.5</v>
        <stp/>
        <stp>ContractData</stp>
        <stp>ZSES4Q5</stp>
        <stp>Settlement</stp>
        <stp/>
        <stp>T</stp>
        <tr r="AK7" s="9"/>
      </tp>
      <tp>
        <v>-23.25</v>
        <stp/>
        <stp>ContractData</stp>
        <stp>ZSES4X5</stp>
        <stp>Settlement</stp>
        <stp/>
        <stp>T</stp>
        <tr r="AK9" s="9"/>
      </tp>
      <tp>
        <v>-37</v>
        <stp/>
        <stp>ContractData</stp>
        <stp>ZSES4F5</stp>
        <stp>Settlement</stp>
        <stp/>
        <stp>T</stp>
        <tr r="AK3" s="9"/>
      </tp>
      <tp>
        <v>6.5</v>
        <stp/>
        <stp>ContractData</stp>
        <stp>ZSES4N5</stp>
        <stp>Settlement</stp>
        <stp/>
        <stp>T</stp>
        <tr r="AK6" s="9"/>
      </tp>
      <tp>
        <v>4.25</v>
        <stp/>
        <stp>ContractData</stp>
        <stp>ZSES4K5</stp>
        <stp>Settlement</stp>
        <stp/>
        <stp>T</stp>
        <tr r="AK5" s="9"/>
      </tp>
      <tp>
        <v>-10.5</v>
        <stp/>
        <stp>ContractData</stp>
        <stp>ZSES4H5</stp>
        <stp>Settlement</stp>
        <stp/>
        <stp>T</stp>
        <tr r="AK4" s="9"/>
      </tp>
      <tp>
        <v>-14</v>
        <stp/>
        <stp>ContractData</stp>
        <stp>ZSES3F6</stp>
        <stp>Settlement</stp>
        <stp/>
        <stp>T</stp>
        <tr r="AK10" s="8"/>
      </tp>
      <tp>
        <v>15</v>
        <stp/>
        <stp>ContractData</stp>
        <stp>ZSES3N6</stp>
        <stp>Settlement</stp>
        <stp/>
        <stp>T</stp>
        <tr r="AK13" s="8"/>
      </tp>
      <tp>
        <v>8.25</v>
        <stp/>
        <stp>ContractData</stp>
        <stp>ZSES3K6</stp>
        <stp>Settlement</stp>
        <stp/>
        <stp>T</stp>
        <tr r="AK12" s="8"/>
      </tp>
      <tp>
        <v>-10.5</v>
        <stp/>
        <stp>ContractData</stp>
        <stp>ZSES3H6</stp>
        <stp>Settlement</stp>
        <stp/>
        <stp>T</stp>
        <tr r="AK11" s="8"/>
      </tp>
      <tp>
        <v>-6</v>
        <stp/>
        <stp>ContractData</stp>
        <stp>ZSES2F6</stp>
        <stp>Settlement</stp>
        <stp/>
        <stp>T</stp>
        <tr r="AK10" s="7"/>
      </tp>
      <tp>
        <v>16.25</v>
        <stp/>
        <stp>ContractData</stp>
        <stp>ZSES2N6</stp>
        <stp>Settlement</stp>
        <stp/>
        <stp>T</stp>
        <tr r="AK13" s="7"/>
      </tp>
      <tp>
        <v>-4.5</v>
        <stp/>
        <stp>ContractData</stp>
        <stp>ZSES2K6</stp>
        <stp>Settlement</stp>
        <stp/>
        <stp>T</stp>
        <tr r="AK12" s="7"/>
      </tp>
      <tp>
        <v>-14</v>
        <stp/>
        <stp>ContractData</stp>
        <stp>ZSES2H6</stp>
        <stp>Settlement</stp>
        <stp/>
        <stp>T</stp>
        <tr r="AK11" s="7"/>
      </tp>
      <tp>
        <v>0</v>
        <stp/>
        <stp>ContractData</stp>
        <stp>ZSES1F6</stp>
        <stp>Settlement</stp>
        <stp/>
        <stp>T</stp>
        <tr r="AK10" s="6"/>
      </tp>
      <tp>
        <v>3.5</v>
        <stp/>
        <stp>ContractData</stp>
        <stp>ZSES1N6</stp>
        <stp>Settlement</stp>
        <stp/>
        <stp>T</stp>
        <tr r="AK13" s="6"/>
      </tp>
      <tp>
        <v>-8</v>
        <stp/>
        <stp>ContractData</stp>
        <stp>ZSES1K6</stp>
        <stp>Settlement</stp>
        <stp/>
        <stp>T</stp>
        <tr r="AK12" s="6"/>
      </tp>
      <tp>
        <v>-6</v>
        <stp/>
        <stp>ContractData</stp>
        <stp>ZSES1H6</stp>
        <stp>Settlement</stp>
        <stp/>
        <stp>T</stp>
        <tr r="AK11" s="6"/>
      </tp>
      <tp>
        <v>1</v>
        <stp/>
        <stp>ContractData</stp>
        <stp>ZSES6F6</stp>
        <stp>Settlement</stp>
        <stp/>
        <stp>T</stp>
        <tr r="AK10" s="11"/>
      </tp>
      <tp t="s">
        <v/>
        <stp/>
        <stp>ContractData</stp>
        <stp>ZSES6N6</stp>
        <stp>Settlement</stp>
        <stp/>
        <stp>T</stp>
        <tr r="AK13" s="11"/>
      </tp>
      <tp t="s">
        <v/>
        <stp/>
        <stp>ContractData</stp>
        <stp>ZSES6K6</stp>
        <stp>Settlement</stp>
        <stp/>
        <stp>T</stp>
        <tr r="AK12" s="11"/>
      </tp>
      <tp t="s">
        <v/>
        <stp/>
        <stp>ContractData</stp>
        <stp>ZSES6H6</stp>
        <stp>Settlement</stp>
        <stp/>
        <stp>T</stp>
        <tr r="AK11" s="11"/>
      </tp>
      <tp>
        <v>2.25</v>
        <stp/>
        <stp>ContractData</stp>
        <stp>ZSES5F6</stp>
        <stp>Settlement</stp>
        <stp/>
        <stp>T</stp>
        <tr r="AK10" s="10"/>
      </tp>
      <tp t="s">
        <v/>
        <stp/>
        <stp>ContractData</stp>
        <stp>ZSES5N6</stp>
        <stp>Settlement</stp>
        <stp/>
        <stp>T</stp>
        <tr r="AK13" s="10"/>
      </tp>
      <tp t="s">
        <v/>
        <stp/>
        <stp>ContractData</stp>
        <stp>ZSES5K6</stp>
        <stp>Settlement</stp>
        <stp/>
        <stp>T</stp>
        <tr r="AK12" s="10"/>
      </tp>
      <tp>
        <v>1</v>
        <stp/>
        <stp>ContractData</stp>
        <stp>ZSES5H6</stp>
        <stp>Settlement</stp>
        <stp/>
        <stp>T</stp>
        <tr r="AK11" s="10"/>
      </tp>
      <tp>
        <v>-10.5</v>
        <stp/>
        <stp>ContractData</stp>
        <stp>ZSES4F6</stp>
        <stp>Settlement</stp>
        <stp/>
        <stp>T</stp>
        <tr r="AK10" s="9"/>
      </tp>
      <tp t="s">
        <v/>
        <stp/>
        <stp>ContractData</stp>
        <stp>ZSES4N6</stp>
        <stp>Settlement</stp>
        <stp/>
        <stp>T</stp>
        <tr r="AK13" s="9"/>
      </tp>
      <tp>
        <v>7</v>
        <stp/>
        <stp>ContractData</stp>
        <stp>ZSES4K6</stp>
        <stp>Settlement</stp>
        <stp/>
        <stp>T</stp>
        <tr r="AK12" s="9"/>
      </tp>
      <tp>
        <v>2.25</v>
        <stp/>
        <stp>ContractData</stp>
        <stp>ZSES4H6</stp>
        <stp>Settlement</stp>
        <stp/>
        <stp>T</stp>
        <tr r="AK11" s="9"/>
      </tp>
      <tp t="s">
        <v/>
        <stp/>
        <stp>ContractData</stp>
        <stp>ZSES4U25</stp>
        <stp>Open</stp>
        <stp/>
        <stp>T</stp>
        <tr r="C83" s="2"/>
      </tp>
      <tp t="s">
        <v/>
        <stp/>
        <stp>ContractData</stp>
        <stp>ZSES5U25</stp>
        <stp>Open</stp>
        <stp/>
        <stp>T</stp>
        <tr r="C99" s="2"/>
      </tp>
      <tp t="s">
        <v/>
        <stp/>
        <stp>ContractData</stp>
        <stp>ZSES6U25</stp>
        <stp>Open</stp>
        <stp/>
        <stp>T</stp>
        <tr r="C115" s="2"/>
      </tp>
      <tp>
        <v>1.75</v>
        <stp/>
        <stp>ContractData</stp>
        <stp>ZSES1U25</stp>
        <stp>Open</stp>
        <stp/>
        <stp>T</stp>
        <tr r="C35" s="2"/>
      </tp>
      <tp>
        <v>-6.5</v>
        <stp/>
        <stp>ContractData</stp>
        <stp>ZSES2U25</stp>
        <stp>Open</stp>
        <stp/>
        <stp>T</stp>
        <tr r="C51" s="2"/>
      </tp>
      <tp t="s">
        <v/>
        <stp/>
        <stp>ContractData</stp>
        <stp>ZSES3U25</stp>
        <stp>Open</stp>
        <stp/>
        <stp>T</stp>
        <tr r="C67" s="2"/>
      </tp>
      <tp>
        <v>19.75</v>
        <stp/>
        <stp>ContractData</stp>
        <stp>ZSES2Q25</stp>
        <stp>High</stp>
        <stp/>
        <stp>T</stp>
        <tr r="D50" s="2"/>
      </tp>
      <tp t="s">
        <v/>
        <stp/>
        <stp>ContractData</stp>
        <stp>ZSES3Q25</stp>
        <stp>High</stp>
        <stp/>
        <stp>T</stp>
        <tr r="D66" s="2"/>
      </tp>
      <tp>
        <v>16.25</v>
        <stp/>
        <stp>ContractData</stp>
        <stp>ZSES1Q25</stp>
        <stp>High</stp>
        <stp/>
        <stp>T</stp>
        <tr r="D34" s="2"/>
      </tp>
      <tp t="s">
        <v/>
        <stp/>
        <stp>ContractData</stp>
        <stp>ZSES6Q25</stp>
        <stp>High</stp>
        <stp/>
        <stp>T</stp>
        <tr r="D114" s="2"/>
      </tp>
      <tp t="s">
        <v/>
        <stp/>
        <stp>ContractData</stp>
        <stp>ZSES4Q25</stp>
        <stp>High</stp>
        <stp/>
        <stp>T</stp>
        <tr r="D82" s="2"/>
      </tp>
      <tp t="s">
        <v/>
        <stp/>
        <stp>ContractData</stp>
        <stp>ZSES5Q25</stp>
        <stp>High</stp>
        <stp/>
        <stp>T</stp>
        <tr r="D98" s="2"/>
      </tp>
      <tp>
        <v>-9.5</v>
        <stp/>
        <stp>ContractData</stp>
        <stp>ZSEF26</stp>
        <stp>NetLastTradeToday</stp>
        <stp/>
        <stp>T</stp>
        <tr r="H21" s="2"/>
        <tr r="G21" s="2"/>
      </tp>
      <tp>
        <v>-10</v>
        <stp/>
        <stp>ContractData</stp>
        <stp>ZSEN26</stp>
        <stp>NetLastTradeToday</stp>
        <stp/>
        <stp>T</stp>
        <tr r="H24" s="2"/>
        <tr r="G24" s="2"/>
      </tp>
      <tp>
        <v>-3.75</v>
        <stp/>
        <stp>ContractData</stp>
        <stp>ZSEK26</stp>
        <stp>NetLastTradeToday</stp>
        <stp/>
        <stp>T</stp>
        <tr r="G23" s="2"/>
        <tr r="H23" s="2"/>
      </tp>
      <tp>
        <v>-10</v>
        <stp/>
        <stp>ContractData</stp>
        <stp>ZSEH26</stp>
        <stp>NetLastTradeToday</stp>
        <stp/>
        <stp>T</stp>
        <tr r="G22" s="2"/>
        <tr r="H22" s="2"/>
      </tp>
      <tp>
        <v>0.5</v>
        <stp/>
        <stp>ContractData</stp>
        <stp>ZSEX24</stp>
        <stp>NetLastTradeToday</stp>
        <stp/>
        <stp>T</stp>
        <tr r="H9" s="2"/>
        <tr r="G13" s="2"/>
        <tr r="H13" s="2"/>
      </tp>
      <tp>
        <v>-3</v>
        <stp/>
        <stp>ContractData</stp>
        <stp>ZSEF25</stp>
        <stp>NetLastTradeToday</stp>
        <stp/>
        <stp>T</stp>
        <tr r="H14" s="2"/>
        <tr r="G14" s="2"/>
      </tp>
      <tp>
        <v>-5.75</v>
        <stp/>
        <stp>ContractData</stp>
        <stp>ZSEN25</stp>
        <stp>NetLastTradeToday</stp>
        <stp/>
        <stp>T</stp>
        <tr r="H17" s="2"/>
        <tr r="G17" s="2"/>
      </tp>
      <tp>
        <v>-5.5</v>
        <stp/>
        <stp>ContractData</stp>
        <stp>ZSEK25</stp>
        <stp>NetLastTradeToday</stp>
        <stp/>
        <stp>T</stp>
        <tr r="G16" s="2"/>
        <tr r="H16" s="2"/>
      </tp>
      <tp>
        <v>-4.5</v>
        <stp/>
        <stp>ContractData</stp>
        <stp>ZSEH25</stp>
        <stp>NetLastTradeToday</stp>
        <stp/>
        <stp>T</stp>
        <tr r="G15" s="2"/>
        <tr r="H15" s="2"/>
      </tp>
      <tp>
        <v>-8</v>
        <stp/>
        <stp>ContractData</stp>
        <stp>ZSEU25</stp>
        <stp>NetLastTradeToday</stp>
        <stp/>
        <stp>T</stp>
        <tr r="G19" s="2"/>
        <tr r="H19" s="2"/>
      </tp>
      <tp>
        <v>-6.75</v>
        <stp/>
        <stp>ContractData</stp>
        <stp>ZSEQ25</stp>
        <stp>NetLastTradeToday</stp>
        <stp/>
        <stp>T</stp>
        <tr r="H18" s="2"/>
        <tr r="G18" s="2"/>
      </tp>
      <tp>
        <v>-9.5</v>
        <stp/>
        <stp>ContractData</stp>
        <stp>ZSEX25</stp>
        <stp>NetLastTradeToday</stp>
        <stp/>
        <stp>T</stp>
        <tr r="G20" s="2"/>
        <tr r="H20" s="2"/>
      </tp>
      <tp t="s">
        <v/>
        <stp/>
        <stp>ContractData</stp>
        <stp>ZSES4Q25</stp>
        <stp>Open</stp>
        <stp/>
        <stp>T</stp>
        <tr r="C82" s="2"/>
      </tp>
      <tp t="s">
        <v/>
        <stp/>
        <stp>ContractData</stp>
        <stp>ZSES5Q25</stp>
        <stp>Open</stp>
        <stp/>
        <stp>T</stp>
        <tr r="C98" s="2"/>
      </tp>
      <tp t="s">
        <v/>
        <stp/>
        <stp>ContractData</stp>
        <stp>ZSES6Q25</stp>
        <stp>Open</stp>
        <stp/>
        <stp>T</stp>
        <tr r="C114" s="2"/>
      </tp>
      <tp>
        <v>13.5</v>
        <stp/>
        <stp>ContractData</stp>
        <stp>ZSES1Q25</stp>
        <stp>Open</stp>
        <stp/>
        <stp>T</stp>
        <tr r="C34" s="2"/>
      </tp>
      <tp>
        <v>15.25</v>
        <stp/>
        <stp>ContractData</stp>
        <stp>ZSES2Q25</stp>
        <stp>Open</stp>
        <stp/>
        <stp>T</stp>
        <tr r="C50" s="2"/>
      </tp>
      <tp t="s">
        <v/>
        <stp/>
        <stp>ContractData</stp>
        <stp>ZSES3Q25</stp>
        <stp>Open</stp>
        <stp/>
        <stp>T</stp>
        <tr r="C66" s="2"/>
      </tp>
      <tp>
        <v>-5.75</v>
        <stp/>
        <stp>ContractData</stp>
        <stp>ZSES2U25</stp>
        <stp>High</stp>
        <stp/>
        <stp>T</stp>
        <tr r="D51" s="2"/>
      </tp>
      <tp t="s">
        <v/>
        <stp/>
        <stp>ContractData</stp>
        <stp>ZSES3U25</stp>
        <stp>High</stp>
        <stp/>
        <stp>T</stp>
        <tr r="D67" s="2"/>
      </tp>
      <tp>
        <v>3.5</v>
        <stp/>
        <stp>ContractData</stp>
        <stp>ZSES1U25</stp>
        <stp>High</stp>
        <stp/>
        <stp>T</stp>
        <tr r="D35" s="2"/>
      </tp>
      <tp t="s">
        <v/>
        <stp/>
        <stp>ContractData</stp>
        <stp>ZSES6U25</stp>
        <stp>High</stp>
        <stp/>
        <stp>T</stp>
        <tr r="D115" s="2"/>
      </tp>
      <tp t="s">
        <v/>
        <stp/>
        <stp>ContractData</stp>
        <stp>ZSES4U25</stp>
        <stp>High</stp>
        <stp/>
        <stp>T</stp>
        <tr r="D83" s="2"/>
      </tp>
      <tp t="s">
        <v/>
        <stp/>
        <stp>ContractData</stp>
        <stp>ZSES5U25</stp>
        <stp>High</stp>
        <stp/>
        <stp>T</stp>
        <tr r="D99" s="2"/>
      </tp>
      <tp t="s">
        <v/>
        <stp/>
        <stp>StudyData</stp>
        <stp>ZSES6N26</stp>
        <stp>Bar</stp>
        <stp/>
        <stp>Close</stp>
        <stp>D</stp>
        <stp/>
        <stp/>
        <stp/>
        <stp/>
        <stp/>
        <stp>T</stp>
        <tr r="V109" s="2"/>
      </tp>
      <tp t="s">
        <v/>
        <stp/>
        <stp>StudyData</stp>
        <stp>ZSES5N26</stp>
        <stp>Bar</stp>
        <stp/>
        <stp>Close</stp>
        <stp>D</stp>
        <stp/>
        <stp/>
        <stp/>
        <stp/>
        <stp/>
        <stp>T</stp>
        <tr r="V93" s="2"/>
      </tp>
      <tp t="s">
        <v/>
        <stp/>
        <stp>StudyData</stp>
        <stp>ZSES4N26</stp>
        <stp>Bar</stp>
        <stp/>
        <stp>Close</stp>
        <stp>D</stp>
        <stp/>
        <stp/>
        <stp/>
        <stp/>
        <stp/>
        <stp>T</stp>
        <tr r="V77" s="2"/>
      </tp>
      <tp>
        <v>15</v>
        <stp/>
        <stp>StudyData</stp>
        <stp>ZSES3N26</stp>
        <stp>Bar</stp>
        <stp/>
        <stp>Close</stp>
        <stp>D</stp>
        <stp/>
        <stp/>
        <stp/>
        <stp/>
        <stp/>
        <stp>T</stp>
        <tr r="V61" s="2"/>
        <tr r="V61" s="2"/>
      </tp>
      <tp t="s">
        <v/>
        <stp/>
        <stp>StudyData</stp>
        <stp>ZSES2N26</stp>
        <stp>Bar</stp>
        <stp/>
        <stp>Close</stp>
        <stp>D</stp>
        <stp/>
        <stp/>
        <stp/>
        <stp/>
        <stp/>
        <stp>T</stp>
        <tr r="V45" s="2"/>
      </tp>
      <tp t="s">
        <v/>
        <stp/>
        <stp>StudyData</stp>
        <stp>ZSES1N26</stp>
        <stp>Bar</stp>
        <stp/>
        <stp>Close</stp>
        <stp>D</stp>
        <stp/>
        <stp/>
        <stp/>
        <stp/>
        <stp/>
        <stp>T</stp>
        <tr r="V29" s="2"/>
      </tp>
      <tp t="s">
        <v/>
        <stp/>
        <stp>StudyData</stp>
        <stp>ZSES6N25</stp>
        <stp>Bar</stp>
        <stp/>
        <stp>Close</stp>
        <stp>D</stp>
        <stp/>
        <stp/>
        <stp/>
        <stp/>
        <stp/>
        <stp>T</stp>
        <tr r="O109" s="2"/>
      </tp>
      <tp t="s">
        <v/>
        <stp/>
        <stp>StudyData</stp>
        <stp>ZSES5N25</stp>
        <stp>Bar</stp>
        <stp/>
        <stp>Close</stp>
        <stp>D</stp>
        <stp/>
        <stp/>
        <stp/>
        <stp/>
        <stp/>
        <stp>T</stp>
        <tr r="O93" s="2"/>
      </tp>
      <tp t="s">
        <v/>
        <stp/>
        <stp>StudyData</stp>
        <stp>ZSES4N25</stp>
        <stp>Bar</stp>
        <stp/>
        <stp>Close</stp>
        <stp>D</stp>
        <stp/>
        <stp/>
        <stp/>
        <stp/>
        <stp/>
        <stp>T</stp>
        <tr r="O77" s="2"/>
      </tp>
      <tp>
        <v>19.75</v>
        <stp/>
        <stp>StudyData</stp>
        <stp>ZSES3N25</stp>
        <stp>Bar</stp>
        <stp/>
        <stp>Close</stp>
        <stp>D</stp>
        <stp/>
        <stp/>
        <stp/>
        <stp/>
        <stp/>
        <stp>T</stp>
        <tr r="O61" s="2"/>
        <tr r="O61" s="2"/>
      </tp>
      <tp>
        <v>17.25</v>
        <stp/>
        <stp>StudyData</stp>
        <stp>ZSES2N25</stp>
        <stp>Bar</stp>
        <stp/>
        <stp>Close</stp>
        <stp>D</stp>
        <stp/>
        <stp/>
        <stp/>
        <stp/>
        <stp/>
        <stp>T</stp>
        <tr r="O45" s="2"/>
        <tr r="O45" s="2"/>
      </tp>
      <tp>
        <v>2</v>
        <stp/>
        <stp>StudyData</stp>
        <stp>ZSES1N25</stp>
        <stp>Bar</stp>
        <stp/>
        <stp>Close</stp>
        <stp>D</stp>
        <stp/>
        <stp/>
        <stp/>
        <stp/>
        <stp/>
        <stp>T</stp>
        <tr r="O29" s="2"/>
        <tr r="O29" s="2"/>
      </tp>
      <tp t="s">
        <v>Soybeans (Globex), Jan 25</v>
        <stp/>
        <stp>ContractData</stp>
        <stp>ZSEF25</stp>
        <stp>LongDescription</stp>
        <tr r="B14" s="2"/>
      </tp>
      <tp t="s">
        <v>Soybeans (Globex), Jan 26</v>
        <stp/>
        <stp>ContractData</stp>
        <stp>ZSEF26</stp>
        <stp>LongDescription</stp>
        <tr r="B21" s="2"/>
      </tp>
      <tp t="s">
        <v/>
        <stp/>
        <stp>StudyData</stp>
        <stp>ZSES6K26</stp>
        <stp>Bar</stp>
        <stp/>
        <stp>Close</stp>
        <stp>D</stp>
        <stp/>
        <stp/>
        <stp/>
        <stp/>
        <stp/>
        <stp>T</stp>
        <tr r="U109" s="2"/>
      </tp>
      <tp t="s">
        <v/>
        <stp/>
        <stp>StudyData</stp>
        <stp>ZSES5K26</stp>
        <stp>Bar</stp>
        <stp/>
        <stp>Close</stp>
        <stp>D</stp>
        <stp/>
        <stp/>
        <stp/>
        <stp/>
        <stp/>
        <stp>T</stp>
        <tr r="U93" s="2"/>
      </tp>
      <tp t="s">
        <v/>
        <stp/>
        <stp>StudyData</stp>
        <stp>ZSES4K26</stp>
        <stp>Bar</stp>
        <stp/>
        <stp>Close</stp>
        <stp>D</stp>
        <stp/>
        <stp/>
        <stp/>
        <stp/>
        <stp/>
        <stp>T</stp>
        <tr r="U77" s="2"/>
      </tp>
      <tp t="s">
        <v/>
        <stp/>
        <stp>StudyData</stp>
        <stp>ZSES3K26</stp>
        <stp>Bar</stp>
        <stp/>
        <stp>Close</stp>
        <stp>D</stp>
        <stp/>
        <stp/>
        <stp/>
        <stp/>
        <stp/>
        <stp>T</stp>
        <tr r="U61" s="2"/>
      </tp>
      <tp t="s">
        <v/>
        <stp/>
        <stp>StudyData</stp>
        <stp>ZSES2K26</stp>
        <stp>Bar</stp>
        <stp/>
        <stp>Close</stp>
        <stp>D</stp>
        <stp/>
        <stp/>
        <stp/>
        <stp/>
        <stp/>
        <stp>T</stp>
        <tr r="U45" s="2"/>
      </tp>
      <tp>
        <v>-7.5</v>
        <stp/>
        <stp>StudyData</stp>
        <stp>ZSES1K26</stp>
        <stp>Bar</stp>
        <stp/>
        <stp>Close</stp>
        <stp>D</stp>
        <stp/>
        <stp/>
        <stp/>
        <stp/>
        <stp/>
        <stp>T</stp>
        <tr r="U29" s="2"/>
        <tr r="U29" s="2"/>
      </tp>
      <tp>
        <v>-2.5</v>
        <stp/>
        <stp>StudyData</stp>
        <stp>ZSES6K25</stp>
        <stp>Bar</stp>
        <stp/>
        <stp>Close</stp>
        <stp>D</stp>
        <stp/>
        <stp/>
        <stp/>
        <stp/>
        <stp/>
        <stp>T</stp>
        <tr r="N109" s="2"/>
        <tr r="N109" s="2"/>
      </tp>
      <tp>
        <v>-0.75</v>
        <stp/>
        <stp>StudyData</stp>
        <stp>ZSES5K25</stp>
        <stp>Bar</stp>
        <stp/>
        <stp>Close</stp>
        <stp>D</stp>
        <stp/>
        <stp/>
        <stp/>
        <stp/>
        <stp/>
        <stp>T</stp>
        <tr r="N93" s="2"/>
        <tr r="N93" s="2"/>
      </tp>
      <tp>
        <v>8.5</v>
        <stp/>
        <stp>StudyData</stp>
        <stp>ZSES4K25</stp>
        <stp>Bar</stp>
        <stp/>
        <stp>Close</stp>
        <stp>D</stp>
        <stp/>
        <stp/>
        <stp/>
        <stp/>
        <stp/>
        <stp>T</stp>
        <tr r="N77" s="2"/>
        <tr r="N77" s="2"/>
      </tp>
      <tp>
        <v>6.25</v>
        <stp/>
        <stp>StudyData</stp>
        <stp>ZSES3K25</stp>
        <stp>Bar</stp>
        <stp/>
        <stp>Close</stp>
        <stp>D</stp>
        <stp/>
        <stp/>
        <stp/>
        <stp/>
        <stp/>
        <stp>T</stp>
        <tr r="N61" s="2"/>
        <tr r="N61" s="2"/>
      </tp>
      <tp>
        <v>-9</v>
        <stp/>
        <stp>StudyData</stp>
        <stp>ZSES2K25</stp>
        <stp>Bar</stp>
        <stp/>
        <stp>Close</stp>
        <stp>D</stp>
        <stp/>
        <stp/>
        <stp/>
        <stp/>
        <stp/>
        <stp>T</stp>
        <tr r="N45" s="2"/>
        <tr r="N45" s="2"/>
      </tp>
      <tp>
        <v>-11</v>
        <stp/>
        <stp>StudyData</stp>
        <stp>ZSES1K25</stp>
        <stp>Bar</stp>
        <stp/>
        <stp>Close</stp>
        <stp>D</stp>
        <stp/>
        <stp/>
        <stp/>
        <stp/>
        <stp/>
        <stp>T</stp>
        <tr r="N29" s="2"/>
        <tr r="N29" s="2"/>
      </tp>
      <tp t="s">
        <v>Soybeans (Globex), Jan 25</v>
        <stp/>
        <stp>ContractData</stp>
        <stp>ZSE</stp>
        <stp>LongDescription</stp>
        <tr r="N3" s="2"/>
      </tp>
      <tp>
        <v>8.25</v>
        <stp/>
        <stp>ContractData</stp>
        <stp>ZSES6F6</stp>
        <stp>Ask</stp>
        <stp/>
        <stp>T</stp>
        <tr r="Z10" s="11"/>
      </tp>
      <tp>
        <v>-15.75</v>
        <stp/>
        <stp>ContractData</stp>
        <stp>ZSES6F5</stp>
        <stp>Ask</stp>
        <stp/>
        <stp>T</stp>
        <tr r="Z3" s="11"/>
      </tp>
      <tp t="s">
        <v/>
        <stp/>
        <stp>ContractData</stp>
        <stp>ZSES5X5</stp>
        <stp>Bid</stp>
        <stp/>
        <stp>T</stp>
        <tr r="Y9" s="10"/>
      </tp>
      <tp>
        <v>-50.5</v>
        <stp/>
        <stp>ContractData</stp>
        <stp>ZSES5X4</stp>
        <stp>Bid</stp>
        <stp/>
        <stp>T</stp>
        <tr r="Y2" s="10"/>
      </tp>
      <tp t="s">
        <v/>
        <stp/>
        <stp>ContractData</stp>
        <stp>ZSES6N6</stp>
        <stp>Ask</stp>
        <stp/>
        <stp>T</stp>
        <tr r="Z13" s="11"/>
      </tp>
      <tp>
        <v>6.5</v>
        <stp/>
        <stp>ContractData</stp>
        <stp>ZSES6N5</stp>
        <stp>Ask</stp>
        <stp/>
        <stp>T</stp>
        <tr r="Z6" s="11"/>
      </tp>
      <tp>
        <v>-20.5</v>
        <stp/>
        <stp>ContractData</stp>
        <stp>ZSES5U5</stp>
        <stp>Bid</stp>
        <stp/>
        <stp>T</stp>
        <tr r="Y8" s="10"/>
      </tp>
      <tp t="s">
        <v/>
        <stp/>
        <stp>ContractData</stp>
        <stp>ZSES6H6</stp>
        <stp>Ask</stp>
        <stp/>
        <stp>T</stp>
        <tr r="Z11" s="11"/>
      </tp>
      <tp>
        <v>-12.75</v>
        <stp/>
        <stp>ContractData</stp>
        <stp>ZSES6H5</stp>
        <stp>Ask</stp>
        <stp/>
        <stp>T</stp>
        <tr r="Z4" s="11"/>
      </tp>
      <tp t="s">
        <v/>
        <stp/>
        <stp>ContractData</stp>
        <stp>ZSES6K6</stp>
        <stp>Ask</stp>
        <stp/>
        <stp>T</stp>
        <tr r="Z12" s="11"/>
      </tp>
      <tp>
        <v>0.5</v>
        <stp/>
        <stp>ContractData</stp>
        <stp>ZSES6K5</stp>
        <stp>Ask</stp>
        <stp/>
        <stp>T</stp>
        <tr r="Z5" s="11"/>
      </tp>
      <tp>
        <v>2</v>
        <stp/>
        <stp>ContractData</stp>
        <stp>ZSES5Q5</stp>
        <stp>Bid</stp>
        <stp/>
        <stp>T</stp>
        <tr r="Y7" s="10"/>
      </tp>
      <tp>
        <v>10</v>
        <stp/>
        <stp>ContractData</stp>
        <stp>ZSES5N5</stp>
        <stp>Bid</stp>
        <stp/>
        <stp>T</stp>
        <tr r="Y6" s="10"/>
      </tp>
      <tp t="s">
        <v/>
        <stp/>
        <stp>ContractData</stp>
        <stp>ZSES5N6</stp>
        <stp>Bid</stp>
        <stp/>
        <stp>T</stp>
        <tr r="Y13" s="10"/>
      </tp>
      <tp t="s">
        <v/>
        <stp/>
        <stp>ContractData</stp>
        <stp>ZSES6U5</stp>
        <stp>Ask</stp>
        <stp/>
        <stp>T</stp>
        <tr r="Z8" s="11"/>
      </tp>
      <tp>
        <v>-2.75</v>
        <stp/>
        <stp>ContractData</stp>
        <stp>ZSES6Q5</stp>
        <stp>Ask</stp>
        <stp/>
        <stp>T</stp>
        <tr r="Z7" s="11"/>
      </tp>
      <tp>
        <v>-1.25</v>
        <stp/>
        <stp>ContractData</stp>
        <stp>ZSES5K5</stp>
        <stp>Bid</stp>
        <stp/>
        <stp>T</stp>
        <tr r="Y5" s="10"/>
      </tp>
      <tp t="s">
        <v/>
        <stp/>
        <stp>ContractData</stp>
        <stp>ZSES5K6</stp>
        <stp>Bid</stp>
        <stp/>
        <stp>T</stp>
        <tr r="Y12" s="10"/>
      </tp>
      <tp>
        <v>-4.25</v>
        <stp/>
        <stp>ContractData</stp>
        <stp>ZSES5H5</stp>
        <stp>Bid</stp>
        <stp/>
        <stp>T</stp>
        <tr r="Y4" s="10"/>
      </tp>
      <tp>
        <v>0.25</v>
        <stp/>
        <stp>ContractData</stp>
        <stp>ZSES5H6</stp>
        <stp>Bid</stp>
        <stp/>
        <stp>T</stp>
        <tr r="Y11" s="10"/>
      </tp>
      <tp>
        <v>-18.5</v>
        <stp/>
        <stp>ContractData</stp>
        <stp>ZSES5F5</stp>
        <stp>Bid</stp>
        <stp/>
        <stp>T</stp>
        <tr r="Y3" s="10"/>
      </tp>
      <tp t="s">
        <v/>
        <stp/>
        <stp>ContractData</stp>
        <stp>ZSES5F6</stp>
        <stp>Bid</stp>
        <stp/>
        <stp>T</stp>
        <tr r="Y10" s="10"/>
      </tp>
      <tp>
        <v>-28.5</v>
        <stp/>
        <stp>ContractData</stp>
        <stp>ZSES6X4</stp>
        <stp>Ask</stp>
        <stp/>
        <stp>T</stp>
        <tr r="Z2" s="11"/>
      </tp>
      <tp>
        <v>22.5</v>
        <stp/>
        <stp>ContractData</stp>
        <stp>ZSES6X5</stp>
        <stp>Ask</stp>
        <stp/>
        <stp>T</stp>
        <tr r="Z9" s="11"/>
      </tp>
      <tp>
        <v>-22.25</v>
        <stp/>
        <stp>ContractData</stp>
        <stp>ZSES4X5</stp>
        <stp>Bid</stp>
        <stp/>
        <stp>T</stp>
        <tr r="Y9" s="9"/>
      </tp>
      <tp>
        <v>-52.5</v>
        <stp/>
        <stp>ContractData</stp>
        <stp>ZSES4X4</stp>
        <stp>Bid</stp>
        <stp/>
        <stp>T</stp>
        <tr r="Y2" s="9"/>
      </tp>
      <tp>
        <v>-13</v>
        <stp/>
        <stp>ContractData</stp>
        <stp>ZSES4U5</stp>
        <stp>Bid</stp>
        <stp/>
        <stp>T</stp>
        <tr r="Y8" s="9"/>
      </tp>
      <tp>
        <v>7.75</v>
        <stp/>
        <stp>ContractData</stp>
        <stp>ZSES4Q5</stp>
        <stp>Bid</stp>
        <stp/>
        <stp>T</stp>
        <tr r="Y7" s="9"/>
      </tp>
      <tp>
        <v>9.75</v>
        <stp/>
        <stp>ContractData</stp>
        <stp>ZSES4N5</stp>
        <stp>Bid</stp>
        <stp/>
        <stp>T</stp>
        <tr r="Y6" s="9"/>
      </tp>
      <tp t="s">
        <v/>
        <stp/>
        <stp>ContractData</stp>
        <stp>ZSES4N6</stp>
        <stp>Bid</stp>
        <stp/>
        <stp>T</stp>
        <tr r="Y13" s="9"/>
      </tp>
      <tp>
        <v>8.25</v>
        <stp/>
        <stp>ContractData</stp>
        <stp>ZSES4K5</stp>
        <stp>Bid</stp>
        <stp/>
        <stp>T</stp>
        <tr r="Y5" s="9"/>
      </tp>
      <tp>
        <v>5.25</v>
        <stp/>
        <stp>ContractData</stp>
        <stp>ZSES4K6</stp>
        <stp>Bid</stp>
        <stp/>
        <stp>T</stp>
        <tr r="Y12" s="9"/>
      </tp>
      <tp>
        <v>-6.75</v>
        <stp/>
        <stp>ContractData</stp>
        <stp>ZSES4H5</stp>
        <stp>Bid</stp>
        <stp/>
        <stp>T</stp>
        <tr r="Y4" s="9"/>
      </tp>
      <tp t="s">
        <v/>
        <stp/>
        <stp>ContractData</stp>
        <stp>ZSES4H6</stp>
        <stp>Bid</stp>
        <stp/>
        <stp>T</stp>
        <tr r="Y11" s="9"/>
      </tp>
      <tp>
        <v>-33.5</v>
        <stp/>
        <stp>ContractData</stp>
        <stp>ZSES4F5</stp>
        <stp>Bid</stp>
        <stp/>
        <stp>T</stp>
        <tr r="Y3" s="9"/>
      </tp>
      <tp t="s">
        <v/>
        <stp/>
        <stp>ContractData</stp>
        <stp>ZSES4F6</stp>
        <stp>Bid</stp>
        <stp/>
        <stp>T</stp>
        <tr r="Y10" s="9"/>
      </tp>
      <tp t="s">
        <v/>
        <stp/>
        <stp>ContractData</stp>
        <stp>ZSES4F6</stp>
        <stp>Ask</stp>
        <stp/>
        <stp>T</stp>
        <tr r="Z10" s="9"/>
      </tp>
      <tp>
        <v>-33</v>
        <stp/>
        <stp>ContractData</stp>
        <stp>ZSES4F5</stp>
        <stp>Ask</stp>
        <stp/>
        <stp>T</stp>
        <tr r="Z3" s="9"/>
      </tp>
      <tp t="s">
        <v/>
        <stp/>
        <stp>ContractData</stp>
        <stp>ZSES4N6</stp>
        <stp>Ask</stp>
        <stp/>
        <stp>T</stp>
        <tr r="Z13" s="9"/>
      </tp>
      <tp>
        <v>11</v>
        <stp/>
        <stp>ContractData</stp>
        <stp>ZSES4N5</stp>
        <stp>Ask</stp>
        <stp/>
        <stp>T</stp>
        <tr r="Z6" s="9"/>
      </tp>
      <tp>
        <v>31.25</v>
        <stp/>
        <stp>ContractData</stp>
        <stp>ZSES4H6</stp>
        <stp>Ask</stp>
        <stp/>
        <stp>T</stp>
        <tr r="Z11" s="9"/>
      </tp>
      <tp>
        <v>-6.25</v>
        <stp/>
        <stp>ContractData</stp>
        <stp>ZSES4H5</stp>
        <stp>Ask</stp>
        <stp/>
        <stp>T</stp>
        <tr r="Z4" s="9"/>
      </tp>
      <tp>
        <v>13.75</v>
        <stp/>
        <stp>ContractData</stp>
        <stp>ZSES4K6</stp>
        <stp>Ask</stp>
        <stp/>
        <stp>T</stp>
        <tr r="Z12" s="9"/>
      </tp>
      <tp>
        <v>8.75</v>
        <stp/>
        <stp>ContractData</stp>
        <stp>ZSES4K5</stp>
        <stp>Ask</stp>
        <stp/>
        <stp>T</stp>
        <tr r="Z5" s="9"/>
      </tp>
      <tp>
        <v>-10.75</v>
        <stp/>
        <stp>ContractData</stp>
        <stp>ZSES4U5</stp>
        <stp>Ask</stp>
        <stp/>
        <stp>T</stp>
        <tr r="Z8" s="9"/>
      </tp>
      <tp>
        <v>9.5</v>
        <stp/>
        <stp>ContractData</stp>
        <stp>ZSES4Q5</stp>
        <stp>Ask</stp>
        <stp/>
        <stp>T</stp>
        <tr r="Z7" s="9"/>
      </tp>
      <tp>
        <v>-45.75</v>
        <stp/>
        <stp>ContractData</stp>
        <stp>ZSES4X4</stp>
        <stp>Ask</stp>
        <stp/>
        <stp>T</stp>
        <tr r="Z2" s="9"/>
      </tp>
      <tp>
        <v>-20.75</v>
        <stp/>
        <stp>ContractData</stp>
        <stp>ZSES4X5</stp>
        <stp>Ask</stp>
        <stp/>
        <stp>T</stp>
        <tr r="Z9" s="9"/>
      </tp>
      <tp>
        <v>31.5</v>
        <stp/>
        <stp>ContractData</stp>
        <stp>ZSES5F6</stp>
        <stp>Ask</stp>
        <stp/>
        <stp>T</stp>
        <tr r="Z10" s="10"/>
      </tp>
      <tp>
        <v>-18</v>
        <stp/>
        <stp>ContractData</stp>
        <stp>ZSES5F5</stp>
        <stp>Ask</stp>
        <stp/>
        <stp>T</stp>
        <tr r="Z3" s="10"/>
      </tp>
      <tp t="s">
        <v/>
        <stp/>
        <stp>ContractData</stp>
        <stp>ZSES6X5</stp>
        <stp>Bid</stp>
        <stp/>
        <stp>T</stp>
        <tr r="Y9" s="11"/>
      </tp>
      <tp>
        <v>-35.25</v>
        <stp/>
        <stp>ContractData</stp>
        <stp>ZSES6X4</stp>
        <stp>Bid</stp>
        <stp/>
        <stp>T</stp>
        <tr r="Y2" s="11"/>
      </tp>
      <tp t="s">
        <v/>
        <stp/>
        <stp>ContractData</stp>
        <stp>ZSES5N6</stp>
        <stp>Ask</stp>
        <stp/>
        <stp>T</stp>
        <tr r="Z13" s="10"/>
      </tp>
      <tp>
        <v>11.5</v>
        <stp/>
        <stp>ContractData</stp>
        <stp>ZSES5N5</stp>
        <stp>Ask</stp>
        <stp/>
        <stp>T</stp>
        <tr r="Z6" s="10"/>
      </tp>
      <tp t="s">
        <v/>
        <stp/>
        <stp>ContractData</stp>
        <stp>ZSES6U5</stp>
        <stp>Bid</stp>
        <stp/>
        <stp>T</stp>
        <tr r="Y8" s="11"/>
      </tp>
      <tp>
        <v>8</v>
        <stp/>
        <stp>ContractData</stp>
        <stp>ZSES5H6</stp>
        <stp>Ask</stp>
        <stp/>
        <stp>T</stp>
        <tr r="Z11" s="10"/>
      </tp>
      <tp>
        <v>-3.75</v>
        <stp/>
        <stp>ContractData</stp>
        <stp>ZSES5H5</stp>
        <stp>Ask</stp>
        <stp/>
        <stp>T</stp>
        <tr r="Z4" s="10"/>
      </tp>
      <tp t="s">
        <v/>
        <stp/>
        <stp>ContractData</stp>
        <stp>ZSES5K6</stp>
        <stp>Ask</stp>
        <stp/>
        <stp>T</stp>
        <tr r="Z12" s="10"/>
      </tp>
      <tp>
        <v>0</v>
        <stp/>
        <stp>ContractData</stp>
        <stp>ZSES5K5</stp>
        <stp>Ask</stp>
        <stp/>
        <stp>T</stp>
        <tr r="Z5" s="10"/>
      </tp>
      <tp>
        <v>-5.5</v>
        <stp/>
        <stp>ContractData</stp>
        <stp>ZSES6Q5</stp>
        <stp>Bid</stp>
        <stp/>
        <stp>T</stp>
        <tr r="Y7" s="11"/>
      </tp>
      <tp>
        <v>4.25</v>
        <stp/>
        <stp>ContractData</stp>
        <stp>ZSES6N5</stp>
        <stp>Bid</stp>
        <stp/>
        <stp>T</stp>
        <tr r="Y6" s="11"/>
      </tp>
      <tp t="s">
        <v/>
        <stp/>
        <stp>ContractData</stp>
        <stp>ZSES6N6</stp>
        <stp>Bid</stp>
        <stp/>
        <stp>T</stp>
        <tr r="Y13" s="11"/>
      </tp>
      <tp>
        <v>-18</v>
        <stp/>
        <stp>ContractData</stp>
        <stp>ZSES5U5</stp>
        <stp>Ask</stp>
        <stp/>
        <stp>T</stp>
        <tr r="Z8" s="10"/>
      </tp>
      <tp>
        <v>4.5</v>
        <stp/>
        <stp>ContractData</stp>
        <stp>ZSES5Q5</stp>
        <stp>Ask</stp>
        <stp/>
        <stp>T</stp>
        <tr r="Z7" s="10"/>
      </tp>
      <tp>
        <v>-1</v>
        <stp/>
        <stp>ContractData</stp>
        <stp>ZSES6K5</stp>
        <stp>Bid</stp>
        <stp/>
        <stp>T</stp>
        <tr r="Y5" s="11"/>
      </tp>
      <tp t="s">
        <v/>
        <stp/>
        <stp>ContractData</stp>
        <stp>ZSES6K6</stp>
        <stp>Bid</stp>
        <stp/>
        <stp>T</stp>
        <tr r="Y12" s="11"/>
      </tp>
      <tp>
        <v>-13.75</v>
        <stp/>
        <stp>ContractData</stp>
        <stp>ZSES6H5</stp>
        <stp>Bid</stp>
        <stp/>
        <stp>T</stp>
        <tr r="Y4" s="11"/>
      </tp>
      <tp t="s">
        <v/>
        <stp/>
        <stp>ContractData</stp>
        <stp>ZSES6H6</stp>
        <stp>Bid</stp>
        <stp/>
        <stp>T</stp>
        <tr r="Y11" s="11"/>
      </tp>
      <tp>
        <v>-16</v>
        <stp/>
        <stp>ContractData</stp>
        <stp>ZSES6F5</stp>
        <stp>Bid</stp>
        <stp/>
        <stp>T</stp>
        <tr r="Y3" s="11"/>
      </tp>
      <tp>
        <v>0.75</v>
        <stp/>
        <stp>ContractData</stp>
        <stp>ZSES6F6</stp>
        <stp>Bid</stp>
        <stp/>
        <stp>T</stp>
        <tr r="Y10" s="11"/>
      </tp>
      <tp>
        <v>-43.5</v>
        <stp/>
        <stp>ContractData</stp>
        <stp>ZSES5X4</stp>
        <stp>Ask</stp>
        <stp/>
        <stp>T</stp>
        <tr r="Z2" s="10"/>
      </tp>
      <tp t="s">
        <v/>
        <stp/>
        <stp>ContractData</stp>
        <stp>ZSES5X5</stp>
        <stp>Ask</stp>
        <stp/>
        <stp>T</stp>
        <tr r="Z9" s="10"/>
      </tp>
      <tp>
        <v>-3.75</v>
        <stp/>
        <stp>ContractData</stp>
        <stp>ZSES2F6</stp>
        <stp>Ask</stp>
        <stp/>
        <stp>T</stp>
        <tr r="Z10" s="7"/>
      </tp>
      <tp>
        <v>-24.25</v>
        <stp/>
        <stp>ContractData</stp>
        <stp>ZSES2F5</stp>
        <stp>Ask</stp>
        <stp/>
        <stp>T</stp>
        <tr r="Z3" s="7"/>
      </tp>
      <tp>
        <v>-9.25</v>
        <stp/>
        <stp>ContractData</stp>
        <stp>ZSES1X5</stp>
        <stp>Bid</stp>
        <stp/>
        <stp>T</stp>
        <tr r="Y9" s="6"/>
      </tp>
      <tp>
        <v>-12.5</v>
        <stp/>
        <stp>ContractData</stp>
        <stp>ZSES1X4</stp>
        <stp>Bid</stp>
        <stp/>
        <stp>T</stp>
        <tr r="Y2" s="6"/>
      </tp>
      <tp>
        <v>17.5</v>
        <stp/>
        <stp>ContractData</stp>
        <stp>ZSES2N6</stp>
        <stp>Ask</stp>
        <stp/>
        <stp>T</stp>
        <tr r="Z13" s="7"/>
      </tp>
      <tp>
        <v>17.25</v>
        <stp/>
        <stp>ContractData</stp>
        <stp>ZSES2N5</stp>
        <stp>Ask</stp>
        <stp/>
        <stp>T</stp>
        <tr r="Z6" s="7"/>
      </tp>
      <tp>
        <v>2.25</v>
        <stp/>
        <stp>ContractData</stp>
        <stp>ZSES1U5</stp>
        <stp>Bid</stp>
        <stp/>
        <stp>T</stp>
        <tr r="Y8" s="6"/>
      </tp>
      <tp>
        <v>-12</v>
        <stp/>
        <stp>ContractData</stp>
        <stp>ZSES2H6</stp>
        <stp>Ask</stp>
        <stp/>
        <stp>T</stp>
        <tr r="Z11" s="7"/>
      </tp>
      <tp>
        <v>-23.5</v>
        <stp/>
        <stp>ContractData</stp>
        <stp>ZSES2H5</stp>
        <stp>Ask</stp>
        <stp/>
        <stp>T</stp>
        <tr r="Z4" s="7"/>
      </tp>
      <tp t="s">
        <v/>
        <stp/>
        <stp>ContractData</stp>
        <stp>ZSES2K6</stp>
        <stp>Ask</stp>
        <stp/>
        <stp>T</stp>
        <tr r="Z12" s="7"/>
      </tp>
      <tp>
        <v>-8.75</v>
        <stp/>
        <stp>ContractData</stp>
        <stp>ZSES2K5</stp>
        <stp>Ask</stp>
        <stp/>
        <stp>T</stp>
        <tr r="Z5" s="7"/>
      </tp>
      <tp>
        <v>14.75</v>
        <stp/>
        <stp>ContractData</stp>
        <stp>ZSES1Q5</stp>
        <stp>Bid</stp>
        <stp/>
        <stp>T</stp>
        <tr r="Y7" s="6"/>
      </tp>
      <tp>
        <v>2</v>
        <stp/>
        <stp>ContractData</stp>
        <stp>ZSES1N5</stp>
        <stp>Bid</stp>
        <stp/>
        <stp>T</stp>
        <tr r="Y6" s="6"/>
      </tp>
      <tp>
        <v>2.75</v>
        <stp/>
        <stp>ContractData</stp>
        <stp>ZSES1N6</stp>
        <stp>Bid</stp>
        <stp/>
        <stp>T</stp>
        <tr r="Y13" s="6"/>
      </tp>
      <tp>
        <v>-6.25</v>
        <stp/>
        <stp>ContractData</stp>
        <stp>ZSES2U5</stp>
        <stp>Ask</stp>
        <stp/>
        <stp>T</stp>
        <tr r="Z8" s="7"/>
      </tp>
      <tp>
        <v>17.75</v>
        <stp/>
        <stp>ContractData</stp>
        <stp>ZSES2Q5</stp>
        <stp>Ask</stp>
        <stp/>
        <stp>T</stp>
        <tr r="Z7" s="7"/>
      </tp>
      <tp>
        <v>-11</v>
        <stp/>
        <stp>ContractData</stp>
        <stp>ZSES1K5</stp>
        <stp>Bid</stp>
        <stp/>
        <stp>T</stp>
        <tr r="Y5" s="6"/>
      </tp>
      <tp>
        <v>-7.5</v>
        <stp/>
        <stp>ContractData</stp>
        <stp>ZSES1K6</stp>
        <stp>Bid</stp>
        <stp/>
        <stp>T</stp>
        <tr r="Y12" s="6"/>
      </tp>
      <tp>
        <v>-12.75</v>
        <stp/>
        <stp>ContractData</stp>
        <stp>ZSES1H5</stp>
        <stp>Bid</stp>
        <stp/>
        <stp>T</stp>
        <tr r="Y4" s="6"/>
      </tp>
      <tp>
        <v>-5.5</v>
        <stp/>
        <stp>ContractData</stp>
        <stp>ZSES1H6</stp>
        <stp>Bid</stp>
        <stp/>
        <stp>T</stp>
        <tr r="Y11" s="6"/>
      </tp>
      <tp>
        <v>-12</v>
        <stp/>
        <stp>ContractData</stp>
        <stp>ZSES1F5</stp>
        <stp>Bid</stp>
        <stp/>
        <stp>T</stp>
        <tr r="Y3" s="6"/>
      </tp>
      <tp>
        <v>0</v>
        <stp/>
        <stp>ContractData</stp>
        <stp>ZSES1F6</stp>
        <stp>Bid</stp>
        <stp/>
        <stp>T</stp>
        <tr r="Y10" s="6"/>
      </tp>
      <tp>
        <v>-22.25</v>
        <stp/>
        <stp>ContractData</stp>
        <stp>ZSES2X4</stp>
        <stp>Ask</stp>
        <stp/>
        <stp>T</stp>
        <tr r="Z2" s="7"/>
      </tp>
      <tp>
        <v>-8.5</v>
        <stp/>
        <stp>ContractData</stp>
        <stp>ZSES2X5</stp>
        <stp>Ask</stp>
        <stp/>
        <stp>T</stp>
        <tr r="Z9" s="7"/>
      </tp>
      <tp>
        <v>-11</v>
        <stp/>
        <stp>ContractData</stp>
        <stp>ZSES3F6</stp>
        <stp>Ask</stp>
        <stp/>
        <stp>T</stp>
        <tr r="Z10" s="8"/>
      </tp>
      <tp>
        <v>-35.25</v>
        <stp/>
        <stp>ContractData</stp>
        <stp>ZSES3F5</stp>
        <stp>Ask</stp>
        <stp/>
        <stp>T</stp>
        <tr r="Z3" s="8"/>
      </tp>
      <tp>
        <v>15</v>
        <stp/>
        <stp>ContractData</stp>
        <stp>ZSES3N6</stp>
        <stp>Ask</stp>
        <stp/>
        <stp>T</stp>
        <tr r="Z13" s="8"/>
      </tp>
      <tp>
        <v>19.75</v>
        <stp/>
        <stp>ContractData</stp>
        <stp>ZSES3N5</stp>
        <stp>Ask</stp>
        <stp/>
        <stp>T</stp>
        <tr r="Z6" s="8"/>
      </tp>
      <tp t="s">
        <v/>
        <stp/>
        <stp>ContractData</stp>
        <stp>ZSES3H6</stp>
        <stp>Ask</stp>
        <stp/>
        <stp>T</stp>
        <tr r="Z11" s="8"/>
      </tp>
      <tp>
        <v>-21.25</v>
        <stp/>
        <stp>ContractData</stp>
        <stp>ZSES3H5</stp>
        <stp>Ask</stp>
        <stp/>
        <stp>T</stp>
        <tr r="Z4" s="8"/>
      </tp>
      <tp>
        <v>37</v>
        <stp/>
        <stp>ContractData</stp>
        <stp>ZSES3K6</stp>
        <stp>Ask</stp>
        <stp/>
        <stp>T</stp>
        <tr r="Z12" s="8"/>
      </tp>
      <tp>
        <v>6.25</v>
        <stp/>
        <stp>ContractData</stp>
        <stp>ZSES3K5</stp>
        <stp>Ask</stp>
        <stp/>
        <stp>T</stp>
        <tr r="Z5" s="8"/>
      </tp>
      <tp>
        <v>-5.75</v>
        <stp/>
        <stp>ContractData</stp>
        <stp>ZSES3U5</stp>
        <stp>Ask</stp>
        <stp/>
        <stp>T</stp>
        <tr r="Z8" s="8"/>
      </tp>
      <tp>
        <v>9</v>
        <stp/>
        <stp>ContractData</stp>
        <stp>ZSES3Q5</stp>
        <stp>Ask</stp>
        <stp/>
        <stp>T</stp>
        <tr r="Z7" s="8"/>
      </tp>
      <tp>
        <v>-34.75</v>
        <stp/>
        <stp>ContractData</stp>
        <stp>ZSES3X4</stp>
        <stp>Ask</stp>
        <stp/>
        <stp>T</stp>
        <tr r="Z2" s="8"/>
      </tp>
      <tp>
        <v>-12.75</v>
        <stp/>
        <stp>ContractData</stp>
        <stp>ZSES3X5</stp>
        <stp>Ask</stp>
        <stp/>
        <stp>T</stp>
        <tr r="Z9" s="8"/>
      </tp>
      <tp>
        <v>-15.25</v>
        <stp/>
        <stp>ContractData</stp>
        <stp>ZSES3X5</stp>
        <stp>Bid</stp>
        <stp/>
        <stp>T</stp>
        <tr r="Y9" s="8"/>
      </tp>
      <tp>
        <v>-41.5</v>
        <stp/>
        <stp>ContractData</stp>
        <stp>ZSES3X4</stp>
        <stp>Bid</stp>
        <stp/>
        <stp>T</stp>
        <tr r="Y2" s="8"/>
      </tp>
      <tp>
        <v>-7.25</v>
        <stp/>
        <stp>ContractData</stp>
        <stp>ZSES3U5</stp>
        <stp>Bid</stp>
        <stp/>
        <stp>T</stp>
        <tr r="Y8" s="8"/>
      </tp>
      <tp>
        <v>7.5</v>
        <stp/>
        <stp>ContractData</stp>
        <stp>ZSES3Q5</stp>
        <stp>Bid</stp>
        <stp/>
        <stp>T</stp>
        <tr r="Y7" s="8"/>
      </tp>
      <tp>
        <v>19.5</v>
        <stp/>
        <stp>ContractData</stp>
        <stp>ZSES3N5</stp>
        <stp>Bid</stp>
        <stp/>
        <stp>T</stp>
        <tr r="Y6" s="8"/>
      </tp>
      <tp>
        <v>14.5</v>
        <stp/>
        <stp>ContractData</stp>
        <stp>ZSES3N6</stp>
        <stp>Bid</stp>
        <stp/>
        <stp>T</stp>
        <tr r="Y13" s="8"/>
      </tp>
      <tp>
        <v>6</v>
        <stp/>
        <stp>ContractData</stp>
        <stp>ZSES3K5</stp>
        <stp>Bid</stp>
        <stp/>
        <stp>T</stp>
        <tr r="Y5" s="8"/>
      </tp>
      <tp t="s">
        <v/>
        <stp/>
        <stp>ContractData</stp>
        <stp>ZSES3K6</stp>
        <stp>Bid</stp>
        <stp/>
        <stp>T</stp>
        <tr r="Y12" s="8"/>
      </tp>
      <tp>
        <v>-21.75</v>
        <stp/>
        <stp>ContractData</stp>
        <stp>ZSES3H5</stp>
        <stp>Bid</stp>
        <stp/>
        <stp>T</stp>
        <tr r="Y4" s="8"/>
      </tp>
      <tp t="s">
        <v/>
        <stp/>
        <stp>ContractData</stp>
        <stp>ZSES3H6</stp>
        <stp>Bid</stp>
        <stp/>
        <stp>T</stp>
        <tr r="Y11" s="8"/>
      </tp>
      <tp>
        <v>-35.5</v>
        <stp/>
        <stp>ContractData</stp>
        <stp>ZSES3F5</stp>
        <stp>Bid</stp>
        <stp/>
        <stp>T</stp>
        <tr r="Y3" s="8"/>
      </tp>
      <tp>
        <v>-13.75</v>
        <stp/>
        <stp>ContractData</stp>
        <stp>ZSES3F6</stp>
        <stp>Bid</stp>
        <stp/>
        <stp>T</stp>
        <tr r="Y10" s="8"/>
      </tp>
      <tp>
        <v>0.5</v>
        <stp/>
        <stp>ContractData</stp>
        <stp>ZSES1F6</stp>
        <stp>Ask</stp>
        <stp/>
        <stp>T</stp>
        <tr r="Z10" s="6"/>
      </tp>
      <tp>
        <v>-11.75</v>
        <stp/>
        <stp>ContractData</stp>
        <stp>ZSES1F5</stp>
        <stp>Ask</stp>
        <stp/>
        <stp>T</stp>
        <tr r="Z3" s="6"/>
      </tp>
      <tp>
        <v>-9</v>
        <stp/>
        <stp>ContractData</stp>
        <stp>ZSES2X5</stp>
        <stp>Bid</stp>
        <stp/>
        <stp>T</stp>
        <tr r="Y9" s="7"/>
      </tp>
      <tp>
        <v>-28.75</v>
        <stp/>
        <stp>ContractData</stp>
        <stp>ZSES2X4</stp>
        <stp>Bid</stp>
        <stp/>
        <stp>T</stp>
        <tr r="Y2" s="7"/>
      </tp>
      <tp>
        <v>4.75</v>
        <stp/>
        <stp>ContractData</stp>
        <stp>ZSES1N6</stp>
        <stp>Ask</stp>
        <stp/>
        <stp>T</stp>
        <tr r="Z13" s="6"/>
      </tp>
      <tp>
        <v>2.25</v>
        <stp/>
        <stp>ContractData</stp>
        <stp>ZSES1N5</stp>
        <stp>Ask</stp>
        <stp/>
        <stp>T</stp>
        <tr r="Z6" s="6"/>
      </tp>
      <tp>
        <v>-7</v>
        <stp/>
        <stp>ContractData</stp>
        <stp>ZSES2U5</stp>
        <stp>Bid</stp>
        <stp/>
        <stp>T</stp>
        <tr r="Y8" s="7"/>
      </tp>
      <tp>
        <v>-5</v>
        <stp/>
        <stp>ContractData</stp>
        <stp>ZSES1H6</stp>
        <stp>Ask</stp>
        <stp/>
        <stp>T</stp>
        <tr r="Z11" s="6"/>
      </tp>
      <tp>
        <v>-12.5</v>
        <stp/>
        <stp>ContractData</stp>
        <stp>ZSES1H5</stp>
        <stp>Ask</stp>
        <stp/>
        <stp>T</stp>
        <tr r="Z4" s="6"/>
      </tp>
      <tp>
        <v>-7.25</v>
        <stp/>
        <stp>ContractData</stp>
        <stp>ZSES1K6</stp>
        <stp>Ask</stp>
        <stp/>
        <stp>T</stp>
        <tr r="Z12" s="6"/>
      </tp>
      <tp>
        <v>-10.75</v>
        <stp/>
        <stp>ContractData</stp>
        <stp>ZSES1K5</stp>
        <stp>Ask</stp>
        <stp/>
        <stp>T</stp>
        <tr r="Z5" s="6"/>
      </tp>
      <tp>
        <v>17.25</v>
        <stp/>
        <stp>ContractData</stp>
        <stp>ZSES2Q5</stp>
        <stp>Bid</stp>
        <stp/>
        <stp>T</stp>
        <tr r="Y7" s="7"/>
      </tp>
      <tp>
        <v>17</v>
        <stp/>
        <stp>ContractData</stp>
        <stp>ZSES2N5</stp>
        <stp>Bid</stp>
        <stp/>
        <stp>T</stp>
        <tr r="Y6" s="7"/>
      </tp>
      <tp>
        <v>9.25</v>
        <stp/>
        <stp>ContractData</stp>
        <stp>ZSES2N6</stp>
        <stp>Bid</stp>
        <stp/>
        <stp>T</stp>
        <tr r="Y13" s="7"/>
      </tp>
      <tp>
        <v>2.75</v>
        <stp/>
        <stp>ContractData</stp>
        <stp>ZSES1U5</stp>
        <stp>Ask</stp>
        <stp/>
        <stp>T</stp>
        <tr r="Z8" s="6"/>
      </tp>
      <tp>
        <v>15</v>
        <stp/>
        <stp>ContractData</stp>
        <stp>ZSES1Q5</stp>
        <stp>Ask</stp>
        <stp/>
        <stp>T</stp>
        <tr r="Z7" s="6"/>
      </tp>
      <tp>
        <v>-9</v>
        <stp/>
        <stp>ContractData</stp>
        <stp>ZSES2K5</stp>
        <stp>Bid</stp>
        <stp/>
        <stp>T</stp>
        <tr r="Y5" s="7"/>
      </tp>
      <tp t="s">
        <v/>
        <stp/>
        <stp>ContractData</stp>
        <stp>ZSES2K6</stp>
        <stp>Bid</stp>
        <stp/>
        <stp>T</stp>
        <tr r="Y12" s="7"/>
      </tp>
      <tp>
        <v>-23.75</v>
        <stp/>
        <stp>ContractData</stp>
        <stp>ZSES2H5</stp>
        <stp>Bid</stp>
        <stp/>
        <stp>T</stp>
        <tr r="Y4" s="7"/>
      </tp>
      <tp>
        <v>-13.5</v>
        <stp/>
        <stp>ContractData</stp>
        <stp>ZSES2H6</stp>
        <stp>Bid</stp>
        <stp/>
        <stp>T</stp>
        <tr r="Y11" s="7"/>
      </tp>
      <tp>
        <v>-24.5</v>
        <stp/>
        <stp>ContractData</stp>
        <stp>ZSES2F5</stp>
        <stp>Bid</stp>
        <stp/>
        <stp>T</stp>
        <tr r="Y3" s="7"/>
      </tp>
      <tp>
        <v>-6.25</v>
        <stp/>
        <stp>ContractData</stp>
        <stp>ZSES2F6</stp>
        <stp>Bid</stp>
        <stp/>
        <stp>T</stp>
        <tr r="Y10" s="7"/>
      </tp>
      <tp>
        <v>-11.25</v>
        <stp/>
        <stp>ContractData</stp>
        <stp>ZSES1X4</stp>
        <stp>Ask</stp>
        <stp/>
        <stp>T</stp>
        <tr r="Z2" s="6"/>
      </tp>
      <tp>
        <v>-9</v>
        <stp/>
        <stp>ContractData</stp>
        <stp>ZSES1X5</stp>
        <stp>Ask</stp>
        <stp/>
        <stp>T</stp>
        <tr r="Z9" s="6"/>
      </tp>
      <tp t="s">
        <v/>
        <stp/>
        <stp>StudyData</stp>
        <stp>ZSES6H26</stp>
        <stp>Bar</stp>
        <stp/>
        <stp>Close</stp>
        <stp>D</stp>
        <stp/>
        <stp/>
        <stp/>
        <stp/>
        <stp/>
        <stp>T</stp>
        <tr r="T109" s="2"/>
      </tp>
      <tp t="s">
        <v/>
        <stp/>
        <stp>StudyData</stp>
        <stp>ZSES5H26</stp>
        <stp>Bar</stp>
        <stp/>
        <stp>Close</stp>
        <stp>D</stp>
        <stp/>
        <stp/>
        <stp/>
        <stp/>
        <stp/>
        <stp>T</stp>
        <tr r="T93" s="2"/>
      </tp>
      <tp t="s">
        <v/>
        <stp/>
        <stp>StudyData</stp>
        <stp>ZSES4H26</stp>
        <stp>Bar</stp>
        <stp/>
        <stp>Close</stp>
        <stp>D</stp>
        <stp/>
        <stp/>
        <stp/>
        <stp/>
        <stp/>
        <stp>T</stp>
        <tr r="T77" s="2"/>
      </tp>
      <tp t="s">
        <v/>
        <stp/>
        <stp>StudyData</stp>
        <stp>ZSES3H26</stp>
        <stp>Bar</stp>
        <stp/>
        <stp>Close</stp>
        <stp>D</stp>
        <stp/>
        <stp/>
        <stp/>
        <stp/>
        <stp/>
        <stp>T</stp>
        <tr r="T61" s="2"/>
      </tp>
      <tp>
        <v>-12.75</v>
        <stp/>
        <stp>StudyData</stp>
        <stp>ZSES2H26</stp>
        <stp>Bar</stp>
        <stp/>
        <stp>Close</stp>
        <stp>D</stp>
        <stp/>
        <stp/>
        <stp/>
        <stp/>
        <stp/>
        <stp>T</stp>
        <tr r="T45" s="2"/>
        <tr r="T45" s="2"/>
      </tp>
      <tp>
        <v>-5.5</v>
        <stp/>
        <stp>StudyData</stp>
        <stp>ZSES1H26</stp>
        <stp>Bar</stp>
        <stp/>
        <stp>Close</stp>
        <stp>D</stp>
        <stp/>
        <stp/>
        <stp/>
        <stp/>
        <stp/>
        <stp>T</stp>
        <tr r="T29" s="2"/>
        <tr r="T29" s="2"/>
      </tp>
      <tp>
        <v>-11.25</v>
        <stp/>
        <stp>StudyData</stp>
        <stp>ZSES6H25</stp>
        <stp>Bar</stp>
        <stp/>
        <stp>Close</stp>
        <stp>D</stp>
        <stp/>
        <stp/>
        <stp/>
        <stp/>
        <stp/>
        <stp>T</stp>
        <tr r="M109" s="2"/>
        <tr r="M109" s="2"/>
      </tp>
      <tp>
        <v>-4</v>
        <stp/>
        <stp>StudyData</stp>
        <stp>ZSES5H25</stp>
        <stp>Bar</stp>
        <stp/>
        <stp>Close</stp>
        <stp>D</stp>
        <stp/>
        <stp/>
        <stp/>
        <stp/>
        <stp/>
        <stp>T</stp>
        <tr r="M93" s="2"/>
        <tr r="M93" s="2"/>
      </tp>
      <tp>
        <v>-6.25</v>
        <stp/>
        <stp>StudyData</stp>
        <stp>ZSES4H25</stp>
        <stp>Bar</stp>
        <stp/>
        <stp>Close</stp>
        <stp>D</stp>
        <stp/>
        <stp/>
        <stp/>
        <stp/>
        <stp/>
        <stp>T</stp>
        <tr r="M77" s="2"/>
        <tr r="M77" s="2"/>
      </tp>
      <tp>
        <v>-21.25</v>
        <stp/>
        <stp>StudyData</stp>
        <stp>ZSES3H25</stp>
        <stp>Bar</stp>
        <stp/>
        <stp>Close</stp>
        <stp>D</stp>
        <stp/>
        <stp/>
        <stp/>
        <stp/>
        <stp/>
        <stp>T</stp>
        <tr r="M61" s="2"/>
        <tr r="M61" s="2"/>
      </tp>
      <tp>
        <v>-23.5</v>
        <stp/>
        <stp>StudyData</stp>
        <stp>ZSES2H25</stp>
        <stp>Bar</stp>
        <stp/>
        <stp>Close</stp>
        <stp>D</stp>
        <stp/>
        <stp/>
        <stp/>
        <stp/>
        <stp/>
        <stp>T</stp>
        <tr r="M45" s="2"/>
        <tr r="M45" s="2"/>
      </tp>
      <tp>
        <v>-12.5</v>
        <stp/>
        <stp>StudyData</stp>
        <stp>ZSES1H25</stp>
        <stp>Bar</stp>
        <stp/>
        <stp>Close</stp>
        <stp>D</stp>
        <stp/>
        <stp/>
        <stp/>
        <stp/>
        <stp/>
        <stp>T</stp>
        <tr r="M29" s="2"/>
        <tr r="M29" s="2"/>
      </tp>
      <tp>
        <v>-7.75</v>
        <stp/>
        <stp>StudyData</stp>
        <stp>Close(ZSES1??11)when (LocalMonth(ZSES1??11)=10 and LocalDay(ZSES1??11)=15 and LocalYear(ZSES1??11)=2024)</stp>
        <stp>Bar</stp>
        <stp/>
        <stp>Close</stp>
        <stp>D</stp>
        <stp>0</stp>
        <stp>ALL</stp>
        <stp/>
        <stp/>
        <stp>FALSE</stp>
        <stp>T</stp>
        <tr r="K26" s="6"/>
      </tp>
      <tp>
        <v>16.75</v>
        <stp/>
        <stp>StudyData</stp>
        <stp>Close(ZSES2??12)when (LocalMonth(ZSES2??12)=10 and LocalDay(ZSES2??12)=15 and LocalYear(ZSES2??12)=2024)</stp>
        <stp>Bar</stp>
        <stp/>
        <stp>Close</stp>
        <stp>D</stp>
        <stp>0</stp>
        <stp>ALL</stp>
        <stp/>
        <stp/>
        <stp>FALSE</stp>
        <stp>T</stp>
        <tr r="K27" s="7"/>
      </tp>
      <tp>
        <v>-6.25</v>
        <stp/>
        <stp>StudyData</stp>
        <stp>Close(ZSES1??10)when (LocalMonth(ZSES1??10)=10 and LocalDay(ZSES1??10)=15 and LocalYear(ZSES1??10)=2024)</stp>
        <stp>Bar</stp>
        <stp/>
        <stp>Close</stp>
        <stp>D</stp>
        <stp>0</stp>
        <stp>ALL</stp>
        <stp/>
        <stp/>
        <stp>FALSE</stp>
        <stp>T</stp>
        <tr r="K25" s="6"/>
      </tp>
      <tp>
        <v>14.25</v>
        <stp/>
        <stp>StudyData</stp>
        <stp>Close(ZSES3??12)when (LocalMonth(ZSES3??12)=10 and LocalDay(ZSES3??12)=15 and LocalYear(ZSES3??12)=2024)</stp>
        <stp>Bar</stp>
        <stp/>
        <stp>Close</stp>
        <stp>D</stp>
        <stp>0</stp>
        <stp>ALL</stp>
        <stp/>
        <stp/>
        <stp>FALSE</stp>
        <stp>T</stp>
        <tr r="K27" s="8"/>
      </tp>
      <tp t="s">
        <v/>
        <stp/>
        <stp>StudyData</stp>
        <stp>ZSES6F26</stp>
        <stp>Bar</stp>
        <stp/>
        <stp>Close</stp>
        <stp>D</stp>
        <stp/>
        <stp/>
        <stp/>
        <stp/>
        <stp/>
        <stp>T</stp>
        <tr r="S109" s="2"/>
      </tp>
      <tp t="s">
        <v/>
        <stp/>
        <stp>StudyData</stp>
        <stp>ZSES5F26</stp>
        <stp>Bar</stp>
        <stp/>
        <stp>Close</stp>
        <stp>D</stp>
        <stp/>
        <stp/>
        <stp/>
        <stp/>
        <stp/>
        <stp>T</stp>
        <tr r="S93" s="2"/>
      </tp>
      <tp t="s">
        <v/>
        <stp/>
        <stp>StudyData</stp>
        <stp>ZSES4F26</stp>
        <stp>Bar</stp>
        <stp/>
        <stp>Close</stp>
        <stp>D</stp>
        <stp/>
        <stp/>
        <stp/>
        <stp/>
        <stp/>
        <stp>T</stp>
        <tr r="S77" s="2"/>
      </tp>
      <tp t="s">
        <v/>
        <stp/>
        <stp>StudyData</stp>
        <stp>ZSES3F26</stp>
        <stp>Bar</stp>
        <stp/>
        <stp>Close</stp>
        <stp>D</stp>
        <stp/>
        <stp/>
        <stp/>
        <stp/>
        <stp/>
        <stp>T</stp>
        <tr r="S61" s="2"/>
      </tp>
      <tp t="s">
        <v/>
        <stp/>
        <stp>StudyData</stp>
        <stp>ZSES2F26</stp>
        <stp>Bar</stp>
        <stp/>
        <stp>Close</stp>
        <stp>D</stp>
        <stp/>
        <stp/>
        <stp/>
        <stp/>
        <stp/>
        <stp>T</stp>
        <tr r="S45" s="2"/>
      </tp>
      <tp>
        <v>0.25</v>
        <stp/>
        <stp>StudyData</stp>
        <stp>ZSES1F26</stp>
        <stp>Bar</stp>
        <stp/>
        <stp>Close</stp>
        <stp>D</stp>
        <stp/>
        <stp/>
        <stp/>
        <stp/>
        <stp/>
        <stp>T</stp>
        <tr r="S29" s="2"/>
        <tr r="S29" s="2"/>
      </tp>
      <tp>
        <v>-15.75</v>
        <stp/>
        <stp>StudyData</stp>
        <stp>ZSES6F25</stp>
        <stp>Bar</stp>
        <stp/>
        <stp>Close</stp>
        <stp>D</stp>
        <stp/>
        <stp/>
        <stp/>
        <stp/>
        <stp/>
        <stp>T</stp>
        <tr r="L109" s="2"/>
        <tr r="L109" s="2"/>
      </tp>
      <tp>
        <v>-18</v>
        <stp/>
        <stp>StudyData</stp>
        <stp>ZSES5F25</stp>
        <stp>Bar</stp>
        <stp/>
        <stp>Close</stp>
        <stp>D</stp>
        <stp/>
        <stp/>
        <stp/>
        <stp/>
        <stp/>
        <stp>T</stp>
        <tr r="L93" s="2"/>
        <tr r="L93" s="2"/>
      </tp>
      <tp>
        <v>-33.25</v>
        <stp/>
        <stp>StudyData</stp>
        <stp>ZSES4F25</stp>
        <stp>Bar</stp>
        <stp/>
        <stp>Close</stp>
        <stp>D</stp>
        <stp/>
        <stp/>
        <stp/>
        <stp/>
        <stp/>
        <stp>T</stp>
        <tr r="L77" s="2"/>
        <tr r="L77" s="2"/>
      </tp>
      <tp>
        <v>-35.25</v>
        <stp/>
        <stp>StudyData</stp>
        <stp>ZSES3F25</stp>
        <stp>Bar</stp>
        <stp/>
        <stp>Close</stp>
        <stp>D</stp>
        <stp/>
        <stp/>
        <stp/>
        <stp/>
        <stp/>
        <stp>T</stp>
        <tr r="L61" s="2"/>
        <tr r="L61" s="2"/>
      </tp>
      <tp>
        <v>-24.5</v>
        <stp/>
        <stp>StudyData</stp>
        <stp>ZSES2F25</stp>
        <stp>Bar</stp>
        <stp/>
        <stp>Close</stp>
        <stp>D</stp>
        <stp/>
        <stp/>
        <stp/>
        <stp/>
        <stp/>
        <stp>T</stp>
        <tr r="L45" s="2"/>
        <tr r="L45" s="2"/>
      </tp>
      <tp>
        <v>-11.75</v>
        <stp/>
        <stp>StudyData</stp>
        <stp>ZSES1F25</stp>
        <stp>Bar</stp>
        <stp/>
        <stp>Close</stp>
        <stp>D</stp>
        <stp/>
        <stp/>
        <stp/>
        <stp/>
        <stp/>
        <stp>T</stp>
        <tr r="L29" s="2"/>
        <tr r="L29" s="2"/>
      </tp>
      <tp>
        <v>-14</v>
        <stp/>
        <stp>StudyData</stp>
        <stp>Close(ZSES2??10)when (LocalMonth(ZSES2??10)=10 and LocalDay(ZSES2??10)=15 and LocalYear(ZSES2??10)=2024)</stp>
        <stp>Bar</stp>
        <stp/>
        <stp>Close</stp>
        <stp>D</stp>
        <stp>0</stp>
        <stp>ALL</stp>
        <stp/>
        <stp/>
        <stp>FALSE</stp>
        <stp>T</stp>
        <tr r="K25" s="7"/>
      </tp>
      <tp>
        <v>9</v>
        <stp/>
        <stp>StudyData</stp>
        <stp>Close(ZSES3??11)when (LocalMonth(ZSES3??11)=10 and LocalDay(ZSES3??11)=15 and LocalYear(ZSES3??11)=2024)</stp>
        <stp>Bar</stp>
        <stp/>
        <stp>Close</stp>
        <stp>D</stp>
        <stp>0</stp>
        <stp>ALL</stp>
        <stp/>
        <stp/>
        <stp>FALSE</stp>
        <stp>T</stp>
        <tr r="K26" s="8"/>
      </tp>
      <tp t="s">
        <v>Soybeans (Globex), Jul 25</v>
        <stp/>
        <stp>ContractData</stp>
        <stp>ZSEN25</stp>
        <stp>LongDescription</stp>
        <tr r="B17" s="2"/>
      </tp>
      <tp t="s">
        <v>Soybeans (Globex), Jul 26</v>
        <stp/>
        <stp>ContractData</stp>
        <stp>ZSEN26</stp>
        <stp>LongDescription</stp>
        <tr r="B24" s="2"/>
      </tp>
      <tp>
        <v>5.5</v>
        <stp/>
        <stp>StudyData</stp>
        <stp>Close(ZSES1??12)when (LocalMonth(ZSES1??12)=10 and LocalDay(ZSES1??12)=15 and LocalYear(ZSES1??12)=2024)</stp>
        <stp>Bar</stp>
        <stp/>
        <stp>Close</stp>
        <stp>D</stp>
        <stp>0</stp>
        <stp>ALL</stp>
        <stp/>
        <stp/>
        <stp>FALSE</stp>
        <stp>T</stp>
        <tr r="K27" s="6"/>
      </tp>
      <tp>
        <v>-2.25</v>
        <stp/>
        <stp>StudyData</stp>
        <stp>Close(ZSES2??11)when (LocalMonth(ZSES2??11)=10 and LocalDay(ZSES2??11)=15 and LocalYear(ZSES2??11)=2024)</stp>
        <stp>Bar</stp>
        <stp/>
        <stp>Close</stp>
        <stp>D</stp>
        <stp>0</stp>
        <stp>ALL</stp>
        <stp/>
        <stp/>
        <stp>FALSE</stp>
        <stp>T</stp>
        <tr r="K26" s="7"/>
      </tp>
      <tp>
        <v>-8.5</v>
        <stp/>
        <stp>StudyData</stp>
        <stp>Close(ZSES3??10)when (LocalMonth(ZSES3??10)=10 and LocalDay(ZSES3??10)=15 and LocalYear(ZSES3??10)=2024)</stp>
        <stp>Bar</stp>
        <stp/>
        <stp>Close</stp>
        <stp>D</stp>
        <stp>0</stp>
        <stp>ALL</stp>
        <stp/>
        <stp/>
        <stp>FALSE</stp>
        <stp>T</stp>
        <tr r="K25" s="8"/>
      </tp>
      <tp>
        <v>1061.75</v>
        <stp/>
        <stp>ContractData</stp>
        <stp>ZSEF26</stp>
        <stp>Settlement</stp>
        <stp/>
        <stp>T</stp>
        <tr r="AJ10" s="6"/>
        <tr r="AJ10" s="9"/>
        <tr r="AJ10" s="11"/>
        <tr r="AJ10" s="7"/>
        <tr r="AJ10" s="8"/>
        <tr r="AJ10" s="10"/>
      </tp>
      <tp>
        <v>1067.75</v>
        <stp/>
        <stp>ContractData</stp>
        <stp>ZSEK26</stp>
        <stp>Settlement</stp>
        <stp/>
        <stp>T</stp>
        <tr r="AJ12" s="7"/>
        <tr r="AJ12" s="6"/>
        <tr r="AJ12" s="10"/>
        <tr r="AJ12" s="9"/>
        <tr r="AJ12" s="8"/>
        <tr r="AJ12" s="11"/>
      </tp>
      <tp>
        <v>1061.75</v>
        <stp/>
        <stp>ContractData</stp>
        <stp>ZSEH26</stp>
        <stp>Settlement</stp>
        <stp/>
        <stp>T</stp>
        <tr r="AJ11" s="9"/>
        <tr r="AJ11" s="6"/>
        <tr r="AJ11" s="8"/>
        <tr r="AJ11" s="10"/>
        <tr r="AJ11" s="7"/>
        <tr r="AJ11" s="11"/>
      </tp>
      <tp>
        <v>1075.75</v>
        <stp/>
        <stp>ContractData</stp>
        <stp>ZSEN26</stp>
        <stp>Settlement</stp>
        <stp/>
        <stp>T</stp>
        <tr r="AJ13" s="7"/>
        <tr r="AJ13" s="10"/>
        <tr r="AJ13" s="6"/>
        <tr r="AJ13" s="11"/>
        <tr r="AJ13" s="8"/>
        <tr r="AJ13" s="9"/>
      </tp>
      <tp>
        <v>2.75</v>
        <stp/>
        <stp>StudyData</stp>
        <stp>Close(ZSES4??10)when (LocalMonth(ZSES4??10)=10 and LocalDay(ZSES4??10)=15 and LocalYear(ZSES4??10)=2024)</stp>
        <stp>Bar</stp>
        <stp/>
        <stp>Close</stp>
        <stp>D</stp>
        <stp>0</stp>
        <stp>ALL</stp>
        <stp/>
        <stp/>
        <stp>FALSE</stp>
        <stp>T</stp>
        <tr r="K25" s="9"/>
      </tp>
      <tp t="s">
        <v/>
        <stp/>
        <stp>StudyData</stp>
        <stp>Close(ZSES5??11)when (LocalMonth(ZSES5??11)=10 and LocalDay(ZSES5??11)=15 and LocalYear(ZSES5??11)=2024)</stp>
        <stp>Bar</stp>
        <stp/>
        <stp>Close</stp>
        <stp>D</stp>
        <stp>0</stp>
        <stp>ALL</stp>
        <stp/>
        <stp/>
        <stp>FALSE</stp>
        <stp>T</stp>
        <tr r="K26" s="10"/>
      </tp>
      <tp t="s">
        <v/>
        <stp/>
        <stp>StudyData</stp>
        <stp>Close(ZSES6??12)when (LocalMonth(ZSES6??12)=10 and LocalDay(ZSES6??12)=15 and LocalYear(ZSES6??12)=2024)</stp>
        <stp>Bar</stp>
        <stp/>
        <stp>Close</stp>
        <stp>D</stp>
        <stp>0</stp>
        <stp>ALL</stp>
        <stp/>
        <stp/>
        <stp>FALSE</stp>
        <stp>T</stp>
        <tr r="K27" s="11"/>
      </tp>
      <tp t="s">
        <v>Soybeans (Globex), Mar 25</v>
        <stp/>
        <stp>ContractData</stp>
        <stp>ZSEH25</stp>
        <stp>LongDescription</stp>
        <tr r="B15" s="2"/>
      </tp>
      <tp t="s">
        <v>Soybeans (Globex), Mar 26</v>
        <stp/>
        <stp>ContractData</stp>
        <stp>ZSEH26</stp>
        <stp>LongDescription</stp>
        <tr r="B22" s="2"/>
      </tp>
      <tp>
        <v>6.5</v>
        <stp/>
        <stp>StudyData</stp>
        <stp>Close(ZSES4??11)when (LocalMonth(ZSES4??11)=10 and LocalDay(ZSES4??11)=15 and LocalYear(ZSES4??11)=2024)</stp>
        <stp>Bar</stp>
        <stp/>
        <stp>Close</stp>
        <stp>D</stp>
        <stp>0</stp>
        <stp>ALL</stp>
        <stp/>
        <stp/>
        <stp>FALSE</stp>
        <stp>T</stp>
        <tr r="K26" s="9"/>
      </tp>
      <tp>
        <v>0.25</v>
        <stp/>
        <stp>StudyData</stp>
        <stp>Close(ZSES5??10)when (LocalMonth(ZSES5??10)=10 and LocalDay(ZSES5??10)=15 and LocalYear(ZSES5??10)=2024)</stp>
        <stp>Bar</stp>
        <stp/>
        <stp>Close</stp>
        <stp>D</stp>
        <stp>0</stp>
        <stp>ALL</stp>
        <stp/>
        <stp/>
        <stp>FALSE</stp>
        <stp>T</stp>
        <tr r="K25" s="10"/>
      </tp>
      <tp t="s">
        <v>Soybeans (Globex), May 25</v>
        <stp/>
        <stp>ContractData</stp>
        <stp>ZSEK25</stp>
        <stp>LongDescription</stp>
        <tr r="B16" s="2"/>
      </tp>
      <tp t="s">
        <v>Soybeans (Globex), May 26</v>
        <stp/>
        <stp>ContractData</stp>
        <stp>ZSEK26</stp>
        <stp>LongDescription</stp>
        <tr r="B23" s="2"/>
      </tp>
      <tp>
        <v>1016.75</v>
        <stp/>
        <stp>ContractData</stp>
        <stp>ZSEX24</stp>
        <stp>Settlement</stp>
        <stp/>
        <stp>T</stp>
        <tr r="AJ2" s="7"/>
        <tr r="AJ2" s="6"/>
        <tr r="AJ2" s="10"/>
        <tr r="AJ2" s="11"/>
        <tr r="AJ2" s="9"/>
        <tr r="AJ2" s="8"/>
      </tp>
      <tp t="s">
        <v/>
        <stp/>
        <stp>StudyData</stp>
        <stp>Close(ZSES4??12)when (LocalMonth(ZSES4??12)=10 and LocalDay(ZSES4??12)=15 and LocalYear(ZSES4??12)=2024)</stp>
        <stp>Bar</stp>
        <stp/>
        <stp>Close</stp>
        <stp>D</stp>
        <stp>0</stp>
        <stp>ALL</stp>
        <stp/>
        <stp/>
        <stp>FALSE</stp>
        <stp>T</stp>
        <tr r="K27" s="9"/>
      </tp>
      <tp t="s">
        <v/>
        <stp/>
        <stp>StudyData</stp>
        <stp>Close(ZSES6??10)when (LocalMonth(ZSES6??10)=10 and LocalDay(ZSES6??10)=15 and LocalYear(ZSES6??10)=2024)</stp>
        <stp>Bar</stp>
        <stp/>
        <stp>Close</stp>
        <stp>D</stp>
        <stp>0</stp>
        <stp>ALL</stp>
        <stp/>
        <stp/>
        <stp>FALSE</stp>
        <stp>T</stp>
        <tr r="K25" s="11"/>
      </tp>
      <tp>
        <v>1067.25</v>
        <stp/>
        <stp>ContractData</stp>
        <stp>ZSEQ25</stp>
        <stp>Settlement</stp>
        <stp/>
        <stp>T</stp>
        <tr r="AJ7" s="11"/>
        <tr r="AJ7" s="10"/>
        <tr r="AJ7" s="9"/>
        <tr r="AJ7" s="6"/>
        <tr r="AJ7" s="7"/>
        <tr r="AJ7" s="8"/>
      </tp>
      <tp>
        <v>1054</v>
        <stp/>
        <stp>ContractData</stp>
        <stp>ZSEU25</stp>
        <stp>Settlement</stp>
        <stp/>
        <stp>T</stp>
        <tr r="AJ8" s="7"/>
        <tr r="AJ8" s="9"/>
        <tr r="AJ8" s="10"/>
        <tr r="AJ8" s="11"/>
        <tr r="AJ8" s="8"/>
        <tr r="AJ8" s="6"/>
      </tp>
      <tp>
        <v>1052.5</v>
        <stp/>
        <stp>ContractData</stp>
        <stp>ZSEX25</stp>
        <stp>Settlement</stp>
        <stp/>
        <stp>T</stp>
        <tr r="AJ9" s="6"/>
        <tr r="AJ9" s="11"/>
        <tr r="AJ9" s="10"/>
        <tr r="AJ9" s="7"/>
        <tr r="AJ9" s="9"/>
        <tr r="AJ9" s="8"/>
      </tp>
      <tp>
        <v>1030.25</v>
        <stp/>
        <stp>ContractData</stp>
        <stp>ZSEF25</stp>
        <stp>Settlement</stp>
        <stp/>
        <stp>T</stp>
        <tr r="AJ3" s="9"/>
        <tr r="AJ3" s="6"/>
        <tr r="AJ3" s="11"/>
        <tr r="AJ3" s="10"/>
        <tr r="AJ3" s="8"/>
        <tr r="AJ3" s="7"/>
      </tp>
      <tp>
        <v>1056.75</v>
        <stp/>
        <stp>ContractData</stp>
        <stp>ZSEK25</stp>
        <stp>Settlement</stp>
        <stp/>
        <stp>T</stp>
        <tr r="AJ5" s="6"/>
        <tr r="AJ5" s="10"/>
        <tr r="AJ5" s="11"/>
        <tr r="AJ5" s="8"/>
        <tr r="AJ5" s="7"/>
        <tr r="AJ5" s="9"/>
      </tp>
      <tp>
        <v>1043.5</v>
        <stp/>
        <stp>ContractData</stp>
        <stp>ZSEH25</stp>
        <stp>Settlement</stp>
        <stp/>
        <stp>T</stp>
        <tr r="AJ4" s="6"/>
        <tr r="AJ4" s="11"/>
        <tr r="AJ4" s="9"/>
        <tr r="AJ4" s="8"/>
        <tr r="AJ4" s="10"/>
        <tr r="AJ4" s="7"/>
      </tp>
      <tp>
        <v>1068.25</v>
        <stp/>
        <stp>ContractData</stp>
        <stp>ZSEN25</stp>
        <stp>Settlement</stp>
        <stp/>
        <stp>T</stp>
        <tr r="AJ6" s="9"/>
        <tr r="AJ6" s="7"/>
        <tr r="AJ6" s="6"/>
        <tr r="AJ6" s="11"/>
        <tr r="AJ6" s="8"/>
        <tr r="AJ6" s="10"/>
      </tp>
      <tp t="s">
        <v/>
        <stp/>
        <stp>StudyData</stp>
        <stp>Close(ZSES5??12)when (LocalMonth(ZSES5??12)=10 and LocalDay(ZSES5??12)=15 and LocalYear(ZSES5??12)=2024)</stp>
        <stp>Bar</stp>
        <stp/>
        <stp>Close</stp>
        <stp>D</stp>
        <stp>0</stp>
        <stp>ALL</stp>
        <stp/>
        <stp/>
        <stp>FALSE</stp>
        <stp>T</stp>
        <tr r="K27" s="10"/>
      </tp>
      <tp t="s">
        <v/>
        <stp/>
        <stp>StudyData</stp>
        <stp>Close(ZSES6??11)when (LocalMonth(ZSES6??11)=10 and LocalDay(ZSES6??11)=15 and LocalYear(ZSES6??11)=2024)</stp>
        <stp>Bar</stp>
        <stp/>
        <stp>Close</stp>
        <stp>D</stp>
        <stp>0</stp>
        <stp>ALL</stp>
        <stp/>
        <stp/>
        <stp>FALSE</stp>
        <stp>T</stp>
        <tr r="K26" s="11"/>
      </tp>
      <tp t="s">
        <v>Soybeans (Globex), Sep 25</v>
        <stp/>
        <stp>ContractData</stp>
        <stp>ZSEU25</stp>
        <stp>LongDescription</stp>
        <tr r="B19" s="2"/>
      </tp>
      <tp>
        <v>2</v>
        <stp/>
        <stp>ContractData</stp>
        <stp>ZSEX24</stp>
        <stp>MT_LastBidVolume</stp>
        <tr r="C9" s="2"/>
      </tp>
      <tp t="s">
        <v>Soybeans (Globex), Aug 25</v>
        <stp/>
        <stp>ContractData</stp>
        <stp>ZSEQ25</stp>
        <stp>LongDescription</stp>
        <tr r="B18" s="2"/>
      </tp>
      <tp t="s">
        <v/>
        <stp/>
        <stp>StudyData</stp>
        <stp>ZSES6X25</stp>
        <stp>Bar</stp>
        <stp/>
        <stp>Close</stp>
        <stp>D</stp>
        <stp/>
        <stp/>
        <stp/>
        <stp/>
        <stp/>
        <stp>T</stp>
        <tr r="R109" s="2"/>
      </tp>
      <tp t="s">
        <v/>
        <stp/>
        <stp>StudyData</stp>
        <stp>ZSES5X25</stp>
        <stp>Bar</stp>
        <stp/>
        <stp>Close</stp>
        <stp>D</stp>
        <stp/>
        <stp/>
        <stp/>
        <stp/>
        <stp/>
        <stp>T</stp>
        <tr r="R93" s="2"/>
      </tp>
      <tp>
        <v>-22.25</v>
        <stp/>
        <stp>StudyData</stp>
        <stp>ZSES4X25</stp>
        <stp>Bar</stp>
        <stp/>
        <stp>Close</stp>
        <stp>D</stp>
        <stp/>
        <stp/>
        <stp/>
        <stp/>
        <stp/>
        <stp>T</stp>
        <tr r="R77" s="2"/>
        <tr r="R77" s="2"/>
      </tp>
      <tp t="s">
        <v/>
        <stp/>
        <stp>StudyData</stp>
        <stp>ZSES3X25</stp>
        <stp>Bar</stp>
        <stp/>
        <stp>Close</stp>
        <stp>D</stp>
        <stp/>
        <stp/>
        <stp/>
        <stp/>
        <stp/>
        <stp>T</stp>
        <tr r="R61" s="2"/>
      </tp>
      <tp>
        <v>-8.75</v>
        <stp/>
        <stp>StudyData</stp>
        <stp>ZSES2X25</stp>
        <stp>Bar</stp>
        <stp/>
        <stp>Close</stp>
        <stp>D</stp>
        <stp/>
        <stp/>
        <stp/>
        <stp/>
        <stp/>
        <stp>T</stp>
        <tr r="R45" s="2"/>
        <tr r="R45" s="2"/>
      </tp>
      <tp>
        <v>-9.25</v>
        <stp/>
        <stp>StudyData</stp>
        <stp>ZSES1X25</stp>
        <stp>Bar</stp>
        <stp/>
        <stp>Close</stp>
        <stp>D</stp>
        <stp/>
        <stp/>
        <stp/>
        <stp/>
        <stp/>
        <stp>T</stp>
        <tr r="R29" s="2"/>
        <tr r="R29" s="2"/>
      </tp>
      <tp t="s">
        <v/>
        <stp/>
        <stp>StudyData</stp>
        <stp>ZSES6X24</stp>
        <stp>Bar</stp>
        <stp/>
        <stp>Close</stp>
        <stp>D</stp>
        <stp/>
        <stp/>
        <stp/>
        <stp/>
        <stp/>
        <stp>T</stp>
        <tr r="K109" s="2"/>
      </tp>
      <tp t="s">
        <v/>
        <stp/>
        <stp>StudyData</stp>
        <stp>ZSES5X24</stp>
        <stp>Bar</stp>
        <stp/>
        <stp>Close</stp>
        <stp>D</stp>
        <stp/>
        <stp/>
        <stp/>
        <stp/>
        <stp/>
        <stp>T</stp>
        <tr r="K93" s="2"/>
      </tp>
      <tp t="s">
        <v/>
        <stp/>
        <stp>StudyData</stp>
        <stp>ZSES4X24</stp>
        <stp>Bar</stp>
        <stp/>
        <stp>Close</stp>
        <stp>D</stp>
        <stp/>
        <stp/>
        <stp/>
        <stp/>
        <stp/>
        <stp>T</stp>
        <tr r="K77" s="2"/>
      </tp>
      <tp t="s">
        <v/>
        <stp/>
        <stp>StudyData</stp>
        <stp>ZSES3X24</stp>
        <stp>Bar</stp>
        <stp/>
        <stp>Close</stp>
        <stp>D</stp>
        <stp/>
        <stp/>
        <stp/>
        <stp/>
        <stp/>
        <stp>T</stp>
        <tr r="K61" s="2"/>
      </tp>
      <tp>
        <v>-21.5</v>
        <stp/>
        <stp>StudyData</stp>
        <stp>ZSES2X24</stp>
        <stp>Bar</stp>
        <stp/>
        <stp>Close</stp>
        <stp>D</stp>
        <stp/>
        <stp/>
        <stp/>
        <stp/>
        <stp/>
        <stp>T</stp>
        <tr r="K45" s="2"/>
        <tr r="K45" s="2"/>
      </tp>
      <tp>
        <v>-12.5</v>
        <stp/>
        <stp>StudyData</stp>
        <stp>ZSES1X24</stp>
        <stp>Bar</stp>
        <stp/>
        <stp>Close</stp>
        <stp>D</stp>
        <stp/>
        <stp/>
        <stp/>
        <stp/>
        <stp/>
        <stp>T</stp>
        <tr r="K29" s="2"/>
        <tr r="K29" s="2"/>
      </tp>
      <tp>
        <v>1045</v>
        <stp/>
        <stp>ContractData</stp>
        <stp>ZSEU25</stp>
        <stp>Bid</stp>
        <stp/>
        <stp>T</stp>
        <tr r="S8" s="6"/>
        <tr r="S8" s="8"/>
        <tr r="S8" s="11"/>
        <tr r="S8" s="10"/>
        <tr r="S8" s="9"/>
        <tr r="Q9" s="2"/>
        <tr r="Q9" s="2"/>
        <tr r="S8" s="7"/>
      </tp>
      <tp>
        <v>1045.5</v>
        <stp/>
        <stp>ContractData</stp>
        <stp>ZSEU25</stp>
        <stp>Ask</stp>
        <stp/>
        <stp>T</stp>
        <tr r="T8" s="10"/>
        <tr r="Q8" s="2"/>
        <tr r="Q8" s="2"/>
        <tr r="T8" s="9"/>
        <tr r="T8" s="7"/>
        <tr r="T8" s="6"/>
        <tr r="T8" s="8"/>
        <tr r="T8" s="11"/>
      </tp>
      <tp>
        <v>1017</v>
        <stp/>
        <stp>ContractData</stp>
        <stp>ZSEX24</stp>
        <stp>Low</stp>
        <stp/>
        <stp>T</stp>
        <tr r="E13" s="2"/>
      </tp>
      <tp>
        <v>1042</v>
        <stp/>
        <stp>ContractData</stp>
        <stp>ZSEX25</stp>
        <stp>Low</stp>
        <stp/>
        <stp>T</stp>
        <tr r="E20" s="2"/>
      </tp>
      <tp>
        <v>1060</v>
        <stp/>
        <stp>ContractData</stp>
        <stp>ZSEQ25</stp>
        <stp>Bid</stp>
        <stp/>
        <stp>T</stp>
        <tr r="S7" s="7"/>
        <tr r="S7" s="8"/>
        <tr r="S7" s="10"/>
        <tr r="S7" s="11"/>
        <tr r="P9" s="2"/>
        <tr r="P9" s="2"/>
        <tr r="S7" s="6"/>
        <tr r="S7" s="9"/>
      </tp>
      <tp>
        <v>1060.5</v>
        <stp/>
        <stp>ContractData</stp>
        <stp>ZSEQ25</stp>
        <stp>Ask</stp>
        <stp/>
        <stp>T</stp>
        <tr r="T7" s="9"/>
        <tr r="T7" s="8"/>
        <tr r="T7" s="11"/>
        <tr r="T7" s="6"/>
        <tr r="P8" s="2"/>
        <tr r="P8" s="2"/>
        <tr r="T7" s="10"/>
        <tr r="T7" s="7"/>
      </tp>
      <tp>
        <v>1060</v>
        <stp/>
        <stp>ContractData</stp>
        <stp>ZSEQ25</stp>
        <stp>Low</stp>
        <stp/>
        <stp>T</stp>
        <tr r="E18" s="2"/>
      </tp>
      <tp>
        <v>1042.75</v>
        <stp/>
        <stp>ContractData</stp>
        <stp>ZSEX25</stp>
        <stp>Bid</stp>
        <stp/>
        <stp>T</stp>
        <tr r="R9" s="2"/>
        <tr r="R9" s="2"/>
        <tr r="S9" s="10"/>
        <tr r="S9" s="8"/>
        <tr r="S9" s="7"/>
        <tr r="S9" s="9"/>
        <tr r="S9" s="11"/>
        <tr r="S9" s="6"/>
      </tp>
      <tp>
        <v>1014.5</v>
        <stp/>
        <stp>ContractData</stp>
        <stp>ZSEX24</stp>
        <stp>Bid</stp>
        <stp/>
        <stp>T</stp>
        <tr r="S2" s="8"/>
        <tr r="D9" s="2"/>
        <tr r="S2" s="10"/>
        <tr r="S2" s="7"/>
        <tr r="K9" s="2"/>
        <tr r="K9" s="2"/>
        <tr r="S2" s="11"/>
        <tr r="S2" s="6"/>
        <tr r="S2" s="9"/>
      </tp>
      <tp>
        <v>1016</v>
        <stp/>
        <stp>ContractData</stp>
        <stp>ZSEX24</stp>
        <stp>Ask</stp>
        <stp/>
        <stp>T</stp>
        <tr r="T2" s="6"/>
        <tr r="K8" s="2"/>
        <tr r="K8" s="2"/>
        <tr r="T2" s="10"/>
        <tr r="T2" s="7"/>
        <tr r="T2" s="9"/>
        <tr r="D7" s="2"/>
        <tr r="T2" s="8"/>
        <tr r="T2" s="11"/>
      </tp>
      <tp>
        <v>1043.25</v>
        <stp/>
        <stp>ContractData</stp>
        <stp>ZSEX25</stp>
        <stp>Ask</stp>
        <stp/>
        <stp>T</stp>
        <tr r="T9" s="9"/>
        <tr r="T9" s="8"/>
        <tr r="T9" s="7"/>
        <tr r="T9" s="6"/>
        <tr r="T9" s="10"/>
        <tr r="T9" s="11"/>
        <tr r="R8" s="2"/>
        <tr r="R8" s="2"/>
      </tp>
      <tp>
        <v>1045</v>
        <stp/>
        <stp>ContractData</stp>
        <stp>ZSEU25</stp>
        <stp>Low</stp>
        <stp/>
        <stp>T</stp>
        <tr r="E19" s="2"/>
      </tp>
      <tp>
        <v>1027.25</v>
        <stp/>
        <stp>ContractData</stp>
        <stp>ZSEF25</stp>
        <stp>Ask</stp>
        <stp/>
        <stp>T</stp>
        <tr r="T3" s="6"/>
        <tr r="T3" s="8"/>
        <tr r="L8" s="2"/>
        <tr r="L8" s="2"/>
        <tr r="T3" s="9"/>
        <tr r="T3" s="7"/>
        <tr r="T3" s="11"/>
        <tr r="T3" s="10"/>
      </tp>
      <tp>
        <v>1052.5</v>
        <stp/>
        <stp>ContractData</stp>
        <stp>ZSEF26</stp>
        <stp>Ask</stp>
        <stp/>
        <stp>T</stp>
        <tr r="T10" s="11"/>
        <tr r="T10" s="8"/>
        <tr r="T10" s="7"/>
        <tr r="T10" s="10"/>
        <tr r="T10" s="9"/>
        <tr r="T10" s="6"/>
        <tr r="S8" s="2"/>
        <tr r="S8" s="2"/>
      </tp>
      <tp>
        <v>1050.75</v>
        <stp/>
        <stp>ContractData</stp>
        <stp>ZSEK25</stp>
        <stp>Low</stp>
        <stp/>
        <stp>T</stp>
        <tr r="E16" s="2"/>
      </tp>
      <tp>
        <v>1064</v>
        <stp/>
        <stp>ContractData</stp>
        <stp>ZSEK26</stp>
        <stp>Low</stp>
        <stp/>
        <stp>T</stp>
        <tr r="E23" s="2"/>
      </tp>
      <tp>
        <v>1051.75</v>
        <stp/>
        <stp>ContractData</stp>
        <stp>ZSEF26</stp>
        <stp>Bid</stp>
        <stp/>
        <stp>T</stp>
        <tr r="S10" s="10"/>
        <tr r="S10" s="8"/>
        <tr r="S10" s="11"/>
        <tr r="S10" s="9"/>
        <tr r="S10" s="6"/>
        <tr r="S9" s="2"/>
        <tr r="S9" s="2"/>
        <tr r="S10" s="7"/>
      </tp>
      <tp>
        <v>1027</v>
        <stp/>
        <stp>ContractData</stp>
        <stp>ZSEF25</stp>
        <stp>Bid</stp>
        <stp/>
        <stp>T</stp>
        <tr r="S3" s="9"/>
        <tr r="L9" s="2"/>
        <tr r="L9" s="2"/>
        <tr r="S3" s="6"/>
        <tr r="S3" s="7"/>
        <tr r="S3" s="11"/>
        <tr r="S3" s="10"/>
        <tr r="S3" s="8"/>
      </tp>
      <tp>
        <v>1038</v>
        <stp/>
        <stp>ContractData</stp>
        <stp>ZSEH25</stp>
        <stp>Low</stp>
        <stp/>
        <stp>T</stp>
        <tr r="E15" s="2"/>
      </tp>
      <tp>
        <v>1051</v>
        <stp/>
        <stp>ContractData</stp>
        <stp>ZSEH26</stp>
        <stp>Low</stp>
        <stp/>
        <stp>T</stp>
        <tr r="E22" s="2"/>
      </tp>
      <tp>
        <v>1061.75</v>
        <stp/>
        <stp>ContractData</stp>
        <stp>ZSEN25</stp>
        <stp>Low</stp>
        <stp/>
        <stp>T</stp>
        <tr r="E17" s="2"/>
      </tp>
      <tp>
        <v>1065.75</v>
        <stp/>
        <stp>ContractData</stp>
        <stp>ZSEN26</stp>
        <stp>Low</stp>
        <stp/>
        <stp>T</stp>
        <tr r="E24" s="2"/>
      </tp>
      <tp>
        <v>1062.75</v>
        <stp/>
        <stp>ContractData</stp>
        <stp>ZSEN25</stp>
        <stp>Ask</stp>
        <stp/>
        <stp>T</stp>
        <tr r="T6" s="8"/>
        <tr r="T6" s="6"/>
        <tr r="T6" s="9"/>
        <tr r="T6" s="7"/>
        <tr r="O8" s="2"/>
        <tr r="O8" s="2"/>
        <tr r="T6" s="10"/>
        <tr r="T6" s="11"/>
      </tp>
      <tp>
        <v>1065.5</v>
        <stp/>
        <stp>ContractData</stp>
        <stp>ZSEN26</stp>
        <stp>Ask</stp>
        <stp/>
        <stp>T</stp>
        <tr r="T13" s="8"/>
        <tr r="T13" s="10"/>
        <tr r="T13" s="7"/>
        <tr r="T13" s="9"/>
        <tr r="V8" s="2"/>
        <tr r="V8" s="2"/>
        <tr r="T13" s="11"/>
        <tr r="T13" s="6"/>
      </tp>
      <tp>
        <v>1063.5</v>
        <stp/>
        <stp>ContractData</stp>
        <stp>ZSEN26</stp>
        <stp>Bid</stp>
        <stp/>
        <stp>T</stp>
        <tr r="V9" s="2"/>
        <tr r="V9" s="2"/>
        <tr r="S13" s="11"/>
        <tr r="S13" s="6"/>
        <tr r="S13" s="7"/>
        <tr r="S13" s="9"/>
        <tr r="S13" s="10"/>
        <tr r="S13" s="8"/>
      </tp>
      <tp>
        <v>1062.25</v>
        <stp/>
        <stp>ContractData</stp>
        <stp>ZSEN25</stp>
        <stp>Bid</stp>
        <stp/>
        <stp>T</stp>
        <tr r="S6" s="8"/>
        <tr r="O9" s="2"/>
        <tr r="O9" s="2"/>
        <tr r="S6" s="11"/>
        <tr r="S6" s="7"/>
        <tr r="S6" s="9"/>
        <tr r="S6" s="6"/>
        <tr r="S6" s="10"/>
      </tp>
      <tp>
        <v>1051.75</v>
        <stp/>
        <stp>ContractData</stp>
        <stp>ZSEK25</stp>
        <stp>Ask</stp>
        <stp/>
        <stp>T</stp>
        <tr r="N8" s="2"/>
        <tr r="N8" s="2"/>
        <tr r="T5" s="11"/>
        <tr r="T5" s="9"/>
        <tr r="T5" s="7"/>
        <tr r="T5" s="8"/>
        <tr r="T5" s="6"/>
        <tr r="T5" s="10"/>
      </tp>
      <tp>
        <v>1057.75</v>
        <stp/>
        <stp>ContractData</stp>
        <stp>ZSEK26</stp>
        <stp>Ask</stp>
        <stp/>
        <stp>T</stp>
        <tr r="T12" s="10"/>
        <tr r="T12" s="9"/>
        <tr r="T12" s="8"/>
        <tr r="T12" s="7"/>
        <tr r="U8" s="2"/>
        <tr r="U8" s="2"/>
        <tr r="T12" s="6"/>
        <tr r="T12" s="11"/>
      </tp>
      <tp>
        <v>1051.25</v>
        <stp/>
        <stp>ContractData</stp>
        <stp>ZSEH26</stp>
        <stp>Bid</stp>
        <stp/>
        <stp>T</stp>
        <tr r="S11" s="7"/>
        <tr r="S11" s="6"/>
        <tr r="S11" s="8"/>
        <tr r="S11" s="11"/>
        <tr r="S11" s="9"/>
        <tr r="T9" s="2"/>
        <tr r="T9" s="2"/>
        <tr r="S11" s="10"/>
      </tp>
      <tp>
        <v>1038.75</v>
        <stp/>
        <stp>ContractData</stp>
        <stp>ZSEH25</stp>
        <stp>Bid</stp>
        <stp/>
        <stp>T</stp>
        <tr r="M9" s="2"/>
        <tr r="M9" s="2"/>
        <tr r="S4" s="9"/>
        <tr r="S4" s="11"/>
        <tr r="S4" s="6"/>
        <tr r="S4" s="8"/>
        <tr r="S4" s="7"/>
        <tr r="S4" s="10"/>
      </tp>
      <tp>
        <v>1026</v>
        <stp/>
        <stp>ContractData</stp>
        <stp>ZSEF25</stp>
        <stp>Low</stp>
        <stp/>
        <stp>T</stp>
        <tr r="E14" s="2"/>
      </tp>
      <tp>
        <v>1051</v>
        <stp/>
        <stp>ContractData</stp>
        <stp>ZSEF26</stp>
        <stp>Low</stp>
        <stp/>
        <stp>T</stp>
        <tr r="E21" s="2"/>
      </tp>
      <tp>
        <v>1039</v>
        <stp/>
        <stp>ContractData</stp>
        <stp>ZSEH25</stp>
        <stp>Ask</stp>
        <stp/>
        <stp>T</stp>
        <tr r="T4" s="11"/>
        <tr r="T4" s="10"/>
        <tr r="T4" s="9"/>
        <tr r="M8" s="2"/>
        <tr r="M8" s="2"/>
        <tr r="T4" s="6"/>
        <tr r="T4" s="8"/>
        <tr r="T4" s="7"/>
      </tp>
      <tp>
        <v>1052.25</v>
        <stp/>
        <stp>ContractData</stp>
        <stp>ZSEH26</stp>
        <stp>Ask</stp>
        <stp/>
        <stp>T</stp>
        <tr r="T11" s="7"/>
        <tr r="T11" s="8"/>
        <tr r="T11" s="6"/>
        <tr r="T8" s="2"/>
        <tr r="T8" s="2"/>
        <tr r="T11" s="10"/>
        <tr r="T11" s="11"/>
        <tr r="T11" s="9"/>
      </tp>
      <tp>
        <v>1056.25</v>
        <stp/>
        <stp>ContractData</stp>
        <stp>ZSEK26</stp>
        <stp>Bid</stp>
        <stp/>
        <stp>T</stp>
        <tr r="S12" s="10"/>
        <tr r="S12" s="6"/>
        <tr r="S12" s="7"/>
        <tr r="S12" s="8"/>
        <tr r="S12" s="11"/>
        <tr r="S12" s="9"/>
        <tr r="U9" s="2"/>
        <tr r="U9" s="2"/>
      </tp>
      <tp>
        <v>1051.25</v>
        <stp/>
        <stp>ContractData</stp>
        <stp>ZSEK25</stp>
        <stp>Bid</stp>
        <stp/>
        <stp>T</stp>
        <tr r="N9" s="2"/>
        <tr r="N9" s="2"/>
        <tr r="S5" s="10"/>
        <tr r="S5" s="11"/>
        <tr r="S5" s="9"/>
        <tr r="S5" s="8"/>
        <tr r="S5" s="7"/>
        <tr r="S5" s="6"/>
      </tp>
      <tp t="s">
        <v/>
        <stp/>
        <stp>StudyData</stp>
        <stp>ZSES6U25</stp>
        <stp>Bar</stp>
        <stp/>
        <stp>Close</stp>
        <stp>D</stp>
        <stp/>
        <stp/>
        <stp/>
        <stp/>
        <stp/>
        <stp>T</stp>
        <tr r="Q109" s="2"/>
      </tp>
      <tp t="s">
        <v/>
        <stp/>
        <stp>StudyData</stp>
        <stp>ZSES5U25</stp>
        <stp>Bar</stp>
        <stp/>
        <stp>Close</stp>
        <stp>D</stp>
        <stp/>
        <stp/>
        <stp/>
        <stp/>
        <stp/>
        <stp>T</stp>
        <tr r="Q93" s="2"/>
      </tp>
      <tp t="s">
        <v/>
        <stp/>
        <stp>StudyData</stp>
        <stp>ZSES4U25</stp>
        <stp>Bar</stp>
        <stp/>
        <stp>Close</stp>
        <stp>D</stp>
        <stp/>
        <stp/>
        <stp/>
        <stp/>
        <stp/>
        <stp>T</stp>
        <tr r="Q77" s="2"/>
      </tp>
      <tp t="s">
        <v/>
        <stp/>
        <stp>StudyData</stp>
        <stp>ZSES3U25</stp>
        <stp>Bar</stp>
        <stp/>
        <stp>Close</stp>
        <stp>D</stp>
        <stp/>
        <stp/>
        <stp/>
        <stp/>
        <stp/>
        <stp>T</stp>
        <tr r="Q61" s="2"/>
      </tp>
      <tp>
        <v>-6.75</v>
        <stp/>
        <stp>StudyData</stp>
        <stp>ZSES2U25</stp>
        <stp>Bar</stp>
        <stp/>
        <stp>Close</stp>
        <stp>D</stp>
        <stp/>
        <stp/>
        <stp/>
        <stp/>
        <stp/>
        <stp>T</stp>
        <tr r="Q45" s="2"/>
        <tr r="Q45" s="2"/>
      </tp>
      <tp>
        <v>2.5</v>
        <stp/>
        <stp>StudyData</stp>
        <stp>ZSES1U25</stp>
        <stp>Bar</stp>
        <stp/>
        <stp>Close</stp>
        <stp>D</stp>
        <stp/>
        <stp/>
        <stp/>
        <stp/>
        <stp/>
        <stp>T</stp>
        <tr r="Q29" s="2"/>
        <tr r="Q29" s="2"/>
      </tp>
      <tp t="s">
        <v>Soybeans (Globex), Nov 24</v>
        <stp/>
        <stp>ContractData</stp>
        <stp>ZSEX24</stp>
        <stp>LongDescription</stp>
        <tr r="C3" s="2"/>
        <tr r="B13" s="2"/>
      </tp>
      <tp t="s">
        <v>Soybeans (Globex), Nov 25</v>
        <stp/>
        <stp>ContractData</stp>
        <stp>ZSEX25</stp>
        <stp>LongDescription</stp>
        <tr r="B20" s="2"/>
      </tp>
      <tp>
        <v>1</v>
        <stp/>
        <stp>ContractData</stp>
        <stp>ZSEX24</stp>
        <stp>MT_LastAskVolume</stp>
        <tr r="C7" s="2"/>
      </tp>
      <tp t="s">
        <v/>
        <stp/>
        <stp>StudyData</stp>
        <stp>ZSES6Q25</stp>
        <stp>Bar</stp>
        <stp/>
        <stp>Close</stp>
        <stp>D</stp>
        <stp/>
        <stp/>
        <stp/>
        <stp/>
        <stp/>
        <stp>T</stp>
        <tr r="P109" s="2"/>
      </tp>
      <tp t="s">
        <v/>
        <stp/>
        <stp>StudyData</stp>
        <stp>ZSES5Q25</stp>
        <stp>Bar</stp>
        <stp/>
        <stp>Close</stp>
        <stp>D</stp>
        <stp/>
        <stp/>
        <stp/>
        <stp/>
        <stp/>
        <stp>T</stp>
        <tr r="P93" s="2"/>
      </tp>
      <tp t="s">
        <v/>
        <stp/>
        <stp>StudyData</stp>
        <stp>ZSES4Q25</stp>
        <stp>Bar</stp>
        <stp/>
        <stp>Close</stp>
        <stp>D</stp>
        <stp/>
        <stp/>
        <stp/>
        <stp/>
        <stp/>
        <stp>T</stp>
        <tr r="P77" s="2"/>
      </tp>
      <tp t="s">
        <v/>
        <stp/>
        <stp>StudyData</stp>
        <stp>ZSES3Q25</stp>
        <stp>Bar</stp>
        <stp/>
        <stp>Close</stp>
        <stp>D</stp>
        <stp/>
        <stp/>
        <stp/>
        <stp/>
        <stp/>
        <stp>T</stp>
        <tr r="P61" s="2"/>
      </tp>
      <tp>
        <v>17.75</v>
        <stp/>
        <stp>StudyData</stp>
        <stp>ZSES2Q25</stp>
        <stp>Bar</stp>
        <stp/>
        <stp>Close</stp>
        <stp>D</stp>
        <stp/>
        <stp/>
        <stp/>
        <stp/>
        <stp/>
        <stp>T</stp>
        <tr r="P45" s="2"/>
        <tr r="P45" s="2"/>
      </tp>
      <tp>
        <v>15</v>
        <stp/>
        <stp>StudyData</stp>
        <stp>ZSES1Q25</stp>
        <stp>Bar</stp>
        <stp/>
        <stp>Close</stp>
        <stp>D</stp>
        <stp/>
        <stp/>
        <stp/>
        <stp/>
        <stp/>
        <stp>T</stp>
        <tr r="P29" s="2"/>
        <tr r="P29" s="2"/>
      </tp>
      <tp>
        <v>6.25</v>
        <stp/>
        <stp>ContractData</stp>
        <stp>ZSES3K5</stp>
        <stp>LastTradeorSettle</stp>
        <stp/>
        <stp>T</stp>
        <tr r="W5" s="8"/>
      </tp>
      <tp>
        <v>-9</v>
        <stp/>
        <stp>ContractData</stp>
        <stp>ZSES2K5</stp>
        <stp>LastTradeorSettle</stp>
        <stp/>
        <stp>T</stp>
        <tr r="W5" s="7"/>
      </tp>
      <tp>
        <v>-11</v>
        <stp/>
        <stp>ContractData</stp>
        <stp>ZSES1K5</stp>
        <stp>LastTradeorSettle</stp>
        <stp/>
        <stp>T</stp>
        <tr r="W5" s="6"/>
        <tr r="W5" s="6"/>
      </tp>
      <tp>
        <v>-2.5</v>
        <stp/>
        <stp>ContractData</stp>
        <stp>ZSES6K5</stp>
        <stp>LastTradeorSettle</stp>
        <stp/>
        <stp>T</stp>
        <tr r="W5" s="11"/>
      </tp>
      <tp>
        <v>-0.75</v>
        <stp/>
        <stp>ContractData</stp>
        <stp>ZSES5K5</stp>
        <stp>LastTradeorSettle</stp>
        <stp/>
        <stp>T</stp>
        <tr r="W5" s="10"/>
      </tp>
      <tp>
        <v>8.5</v>
        <stp/>
        <stp>ContractData</stp>
        <stp>ZSES4K5</stp>
        <stp>LastTradeorSettle</stp>
        <stp/>
        <stp>T</stp>
        <tr r="W5" s="9"/>
      </tp>
      <tp t="s">
        <v/>
        <stp/>
        <stp>ContractData</stp>
        <stp>ZSES3K6</stp>
        <stp>LastTradeorSettle</stp>
        <stp/>
        <stp>T</stp>
        <tr r="W12" s="8"/>
      </tp>
      <tp t="s">
        <v/>
        <stp/>
        <stp>ContractData</stp>
        <stp>ZSES2K6</stp>
        <stp>LastTradeorSettle</stp>
        <stp/>
        <stp>T</stp>
        <tr r="W12" s="7"/>
      </tp>
      <tp>
        <v>-7.5</v>
        <stp/>
        <stp>ContractData</stp>
        <stp>ZSES1K6</stp>
        <stp>LastTradeorSettle</stp>
        <stp/>
        <stp>T</stp>
        <tr r="W12" s="6"/>
        <tr r="W12" s="6"/>
      </tp>
      <tp t="s">
        <v/>
        <stp/>
        <stp>ContractData</stp>
        <stp>ZSES6K6</stp>
        <stp>LastTradeorSettle</stp>
        <stp/>
        <stp>T</stp>
        <tr r="W12" s="11"/>
      </tp>
      <tp t="s">
        <v/>
        <stp/>
        <stp>ContractData</stp>
        <stp>ZSES5K6</stp>
        <stp>LastTradeorSettle</stp>
        <stp/>
        <stp>T</stp>
        <tr r="W12" s="10"/>
      </tp>
      <tp t="s">
        <v/>
        <stp/>
        <stp>ContractData</stp>
        <stp>ZSES4K6</stp>
        <stp>LastTradeorSettle</stp>
        <stp/>
        <stp>T</stp>
        <tr r="W12" s="9"/>
      </tp>
      <tp>
        <v>1.25</v>
        <stp/>
        <stp>ContractData</stp>
        <stp>ZSES1U5</stp>
        <stp>NetLastQuoteToday</stp>
        <stp/>
        <stp>T</stp>
        <tr r="X8" s="6"/>
      </tp>
      <tp>
        <v>0.5</v>
        <stp/>
        <stp>ContractData</stp>
        <stp>ZSES3U5</stp>
        <stp>NetLastQuoteToday</stp>
        <stp/>
        <stp>T</stp>
        <tr r="X8" s="8"/>
      </tp>
      <tp>
        <v>1.5</v>
        <stp/>
        <stp>ContractData</stp>
        <stp>ZSES2U5</stp>
        <stp>NetLastQuoteToday</stp>
        <stp/>
        <stp>T</stp>
        <tr r="X8" s="7"/>
      </tp>
      <tp>
        <v>3.75</v>
        <stp/>
        <stp>ContractData</stp>
        <stp>ZSES5U5</stp>
        <stp>NetLastQuoteToday</stp>
        <stp/>
        <stp>T</stp>
        <tr r="X8" s="10"/>
      </tp>
      <tp>
        <v>0.75</v>
        <stp/>
        <stp>ContractData</stp>
        <stp>ZSES4U5</stp>
        <stp>NetLastQuoteToday</stp>
        <stp/>
        <stp>T</stp>
        <tr r="X8" s="9"/>
      </tp>
      <tp t="s">
        <v/>
        <stp/>
        <stp>ContractData</stp>
        <stp>ZSES6U5</stp>
        <stp>NetLastQuoteToday</stp>
        <stp/>
        <stp>T</stp>
        <tr r="X8" s="11"/>
      </tp>
      <tp t="s">
        <v>ZSES1U25</v>
        <stp/>
        <stp>ContractData</stp>
        <stp>ZSES1U5</stp>
        <stp>Symbol</stp>
        <tr r="R11" s="2"/>
      </tp>
      <tp t="s">
        <v>ZSES1Q25</v>
        <stp/>
        <stp>ContractData</stp>
        <stp>ZSES1Q5</stp>
        <stp>Symbol</stp>
        <tr r="Q11" s="2"/>
      </tp>
      <tp t="s">
        <v>ZSES1X24</v>
        <stp/>
        <stp>ContractData</stp>
        <stp>ZSES1X4</stp>
        <stp>Symbol</stp>
        <tr r="L11" s="2"/>
      </tp>
      <tp t="s">
        <v>ZSES1X25</v>
        <stp/>
        <stp>ContractData</stp>
        <stp>ZSES1X5</stp>
        <stp>Symbol</stp>
        <tr r="S11" s="2"/>
      </tp>
      <tp t="s">
        <v>ZSES1F25</v>
        <stp/>
        <stp>ContractData</stp>
        <stp>ZSES1F5</stp>
        <stp>Symbol</stp>
        <tr r="M11" s="2"/>
      </tp>
      <tp t="s">
        <v>ZSES1F26</v>
        <stp/>
        <stp>ContractData</stp>
        <stp>ZSES1F6</stp>
        <stp>Symbol</stp>
        <tr r="T11" s="2"/>
      </tp>
      <tp t="s">
        <v>ZSES1N25</v>
        <stp/>
        <stp>ContractData</stp>
        <stp>ZSES1N5</stp>
        <stp>Symbol</stp>
        <tr r="P11" s="2"/>
      </tp>
      <tp t="s">
        <v>ZSES1N26</v>
        <stp/>
        <stp>ContractData</stp>
        <stp>ZSES1N6</stp>
        <stp>Symbol</stp>
        <tr r="W11" s="2"/>
      </tp>
      <tp t="s">
        <v>ZSES1K25</v>
        <stp/>
        <stp>ContractData</stp>
        <stp>ZSES1K5</stp>
        <stp>Symbol</stp>
        <tr r="O11" s="2"/>
      </tp>
      <tp t="s">
        <v>ZSES1K26</v>
        <stp/>
        <stp>ContractData</stp>
        <stp>ZSES1K6</stp>
        <stp>Symbol</stp>
        <tr r="V11" s="2"/>
      </tp>
      <tp t="s">
        <v>ZSES1H25</v>
        <stp/>
        <stp>ContractData</stp>
        <stp>ZSES1H5</stp>
        <stp>Symbol</stp>
        <tr r="N11" s="2"/>
      </tp>
      <tp t="s">
        <v>ZSES1H26</v>
        <stp/>
        <stp>ContractData</stp>
        <stp>ZSES1H6</stp>
        <stp>Symbol</stp>
        <tr r="U11" s="2"/>
      </tp>
      <tp>
        <v>991</v>
        <stp/>
        <stp>StudyData</stp>
        <stp>Close(ZSE?1)when (LocalMonth(ZSE?1)=10 and LocalDay(ZSE?1)=15 and LocalYear(ZSEX24)=2024)</stp>
        <stp>Bar</stp>
        <stp/>
        <stp>Close</stp>
        <stp>D</stp>
        <stp>0</stp>
        <stp>ALL</stp>
        <stp/>
        <stp/>
        <stp>FALSE</stp>
        <stp>T</stp>
        <tr r="E16" s="6"/>
        <tr r="E16" s="6"/>
        <tr r="E16" s="7"/>
        <tr r="E16" s="10"/>
        <tr r="E16" s="9"/>
        <tr r="E16" s="11"/>
        <tr r="E16" s="8"/>
      </tp>
      <tp>
        <v>1035.75</v>
        <stp/>
        <stp>StudyData</stp>
        <stp>Close(ZSE?8)when (LocalMonth(ZSE?8)=10 and LocalDay(ZSE?8)=15 and LocalYear(ZSEX25)=2024)</stp>
        <stp>Bar</stp>
        <stp/>
        <stp>Close</stp>
        <stp>D</stp>
        <stp>0</stp>
        <stp>ALL</stp>
        <stp/>
        <stp/>
        <stp>FALSE</stp>
        <stp>T</stp>
        <tr r="E23" s="11"/>
        <tr r="E23" s="6"/>
        <tr r="E23" s="6"/>
        <tr r="E23" s="9"/>
        <tr r="E23" s="10"/>
        <tr r="E23" s="8"/>
        <tr r="E23" s="7"/>
      </tp>
      <tp t="s">
        <v>SoyBean Calendar Spread 1, (1*ZSEH26-1*ZSEK26)</v>
        <stp/>
        <stp>ContractData</stp>
        <stp>ZSES1??10</stp>
        <stp>LongDescription</stp>
        <stp/>
        <stp>T</stp>
        <tr r="N25" s="6"/>
      </tp>
      <tp t="s">
        <v>SoyBean Calendar Spread 1, (1*ZSEK26-1*ZSEN26)</v>
        <stp/>
        <stp>ContractData</stp>
        <stp>ZSES1??11</stp>
        <stp>LongDescription</stp>
        <stp/>
        <stp>T</stp>
        <tr r="N26" s="6"/>
      </tp>
      <tp t="s">
        <v>SoyBean Calendar Spread 1, (1*ZSEN26-1*ZSEQ26)</v>
        <stp/>
        <stp>ContractData</stp>
        <stp>ZSES1??12</stp>
        <stp>LongDescription</stp>
        <stp/>
        <stp>T</stp>
        <tr r="N27" s="6"/>
      </tp>
      <tp>
        <v>-21.25</v>
        <stp/>
        <stp>ContractData</stp>
        <stp>ZSES3H5</stp>
        <stp>LastTradeorSettle</stp>
        <stp/>
        <stp>T</stp>
        <tr r="W4" s="8"/>
      </tp>
      <tp>
        <v>-23.5</v>
        <stp/>
        <stp>ContractData</stp>
        <stp>ZSES2H5</stp>
        <stp>LastTradeorSettle</stp>
        <stp/>
        <stp>T</stp>
        <tr r="W4" s="7"/>
      </tp>
      <tp>
        <v>-12.5</v>
        <stp/>
        <stp>ContractData</stp>
        <stp>ZSES1H5</stp>
        <stp>LastTradeorSettle</stp>
        <stp/>
        <stp>T</stp>
        <tr r="W4" s="6"/>
        <tr r="W4" s="6"/>
      </tp>
      <tp>
        <v>-11.25</v>
        <stp/>
        <stp>ContractData</stp>
        <stp>ZSES6H5</stp>
        <stp>LastTradeorSettle</stp>
        <stp/>
        <stp>T</stp>
        <tr r="W4" s="11"/>
      </tp>
      <tp>
        <v>-4</v>
        <stp/>
        <stp>ContractData</stp>
        <stp>ZSES5H5</stp>
        <stp>LastTradeorSettle</stp>
        <stp/>
        <stp>T</stp>
        <tr r="W4" s="10"/>
      </tp>
      <tp>
        <v>-6.25</v>
        <stp/>
        <stp>ContractData</stp>
        <stp>ZSES4H5</stp>
        <stp>LastTradeorSettle</stp>
        <stp/>
        <stp>T</stp>
        <tr r="W4" s="9"/>
      </tp>
      <tp t="s">
        <v/>
        <stp/>
        <stp>ContractData</stp>
        <stp>ZSES3H6</stp>
        <stp>LastTradeorSettle</stp>
        <stp/>
        <stp>T</stp>
        <tr r="W11" s="8"/>
      </tp>
      <tp>
        <v>-12.75</v>
        <stp/>
        <stp>ContractData</stp>
        <stp>ZSES2H6</stp>
        <stp>LastTradeorSettle</stp>
        <stp/>
        <stp>T</stp>
        <tr r="W11" s="7"/>
      </tp>
      <tp>
        <v>-5.5</v>
        <stp/>
        <stp>ContractData</stp>
        <stp>ZSES1H6</stp>
        <stp>LastTradeorSettle</stp>
        <stp/>
        <stp>T</stp>
        <tr r="W11" s="6"/>
        <tr r="W11" s="6"/>
      </tp>
      <tp t="s">
        <v/>
        <stp/>
        <stp>ContractData</stp>
        <stp>ZSES6H6</stp>
        <stp>LastTradeorSettle</stp>
        <stp/>
        <stp>T</stp>
        <tr r="W11" s="11"/>
      </tp>
      <tp t="s">
        <v/>
        <stp/>
        <stp>ContractData</stp>
        <stp>ZSES5H6</stp>
        <stp>LastTradeorSettle</stp>
        <stp/>
        <stp>T</stp>
        <tr r="W11" s="10"/>
      </tp>
      <tp t="s">
        <v/>
        <stp/>
        <stp>ContractData</stp>
        <stp>ZSES4H6</stp>
        <stp>LastTradeorSettle</stp>
        <stp/>
        <stp>T</stp>
        <tr r="W11" s="9"/>
      </tp>
      <tp>
        <v>1.75</v>
        <stp/>
        <stp>ContractData</stp>
        <stp>ZSES1Q5</stp>
        <stp>NetLastQuoteToday</stp>
        <stp/>
        <stp>T</stp>
        <tr r="X7" s="6"/>
      </tp>
      <tp>
        <v>2</v>
        <stp/>
        <stp>ContractData</stp>
        <stp>ZSES3Q5</stp>
        <stp>NetLastQuoteToday</stp>
        <stp/>
        <stp>T</stp>
        <tr r="X7" s="8"/>
      </tp>
      <tp>
        <v>3</v>
        <stp/>
        <stp>ContractData</stp>
        <stp>ZSES2Q5</stp>
        <stp>NetLastQuoteToday</stp>
        <stp/>
        <stp>T</stp>
        <tr r="X7" s="7"/>
      </tp>
      <tp>
        <v>2.5</v>
        <stp/>
        <stp>ContractData</stp>
        <stp>ZSES5Q5</stp>
        <stp>NetLastQuoteToday</stp>
        <stp/>
        <stp>T</stp>
        <tr r="X7" s="10"/>
      </tp>
      <tp>
        <v>2.25</v>
        <stp/>
        <stp>ContractData</stp>
        <stp>ZSES4Q5</stp>
        <stp>NetLastQuoteToday</stp>
        <stp/>
        <stp>T</stp>
        <tr r="X7" s="9"/>
      </tp>
      <tp>
        <v>3</v>
        <stp/>
        <stp>ContractData</stp>
        <stp>ZSES6Q5</stp>
        <stp>NetLastQuoteToday</stp>
        <stp/>
        <stp>T</stp>
        <tr r="X7" s="11"/>
      </tp>
      <tp>
        <v>19.75</v>
        <stp/>
        <stp>ContractData</stp>
        <stp>ZSES3N5</stp>
        <stp>LastTradeorSettle</stp>
        <stp/>
        <stp>T</stp>
        <tr r="W6" s="8"/>
      </tp>
      <tp>
        <v>17.25</v>
        <stp/>
        <stp>ContractData</stp>
        <stp>ZSES2N5</stp>
        <stp>LastTradeorSettle</stp>
        <stp/>
        <stp>T</stp>
        <tr r="W6" s="7"/>
      </tp>
      <tp>
        <v>2</v>
        <stp/>
        <stp>ContractData</stp>
        <stp>ZSES1N5</stp>
        <stp>LastTradeorSettle</stp>
        <stp/>
        <stp>T</stp>
        <tr r="W6" s="6"/>
        <tr r="W6" s="6"/>
      </tp>
      <tp t="s">
        <v/>
        <stp/>
        <stp>ContractData</stp>
        <stp>ZSES6N5</stp>
        <stp>LastTradeorSettle</stp>
        <stp/>
        <stp>T</stp>
        <tr r="W6" s="11"/>
      </tp>
      <tp t="s">
        <v/>
        <stp/>
        <stp>ContractData</stp>
        <stp>ZSES5N5</stp>
        <stp>LastTradeorSettle</stp>
        <stp/>
        <stp>T</stp>
        <tr r="W6" s="10"/>
      </tp>
      <tp t="s">
        <v/>
        <stp/>
        <stp>ContractData</stp>
        <stp>ZSES4N5</stp>
        <stp>LastTradeorSettle</stp>
        <stp/>
        <stp>T</stp>
        <tr r="W6" s="9"/>
      </tp>
      <tp>
        <v>15</v>
        <stp/>
        <stp>ContractData</stp>
        <stp>ZSES3N6</stp>
        <stp>LastTradeorSettle</stp>
        <stp/>
        <stp>T</stp>
        <tr r="W13" s="8"/>
      </tp>
      <tp t="s">
        <v/>
        <stp/>
        <stp>ContractData</stp>
        <stp>ZSES2N6</stp>
        <stp>LastTradeorSettle</stp>
        <stp/>
        <stp>T</stp>
        <tr r="W13" s="7"/>
      </tp>
      <tp t="s">
        <v/>
        <stp/>
        <stp>ContractData</stp>
        <stp>ZSES1N6</stp>
        <stp>LastTradeorSettle</stp>
        <stp/>
        <stp>T</stp>
        <tr r="W13" s="6"/>
        <tr r="W13" s="6"/>
      </tp>
      <tp t="s">
        <v/>
        <stp/>
        <stp>ContractData</stp>
        <stp>ZSES6N6</stp>
        <stp>LastTradeorSettle</stp>
        <stp/>
        <stp>T</stp>
        <tr r="W13" s="11"/>
      </tp>
      <tp t="s">
        <v/>
        <stp/>
        <stp>ContractData</stp>
        <stp>ZSES5N6</stp>
        <stp>LastTradeorSettle</stp>
        <stp/>
        <stp>T</stp>
        <tr r="W13" s="10"/>
      </tp>
      <tp t="s">
        <v/>
        <stp/>
        <stp>ContractData</stp>
        <stp>ZSES4N6</stp>
        <stp>LastTradeorSettle</stp>
        <stp/>
        <stp>T</stp>
        <tr r="W13" s="9"/>
      </tp>
      <tp t="s">
        <v>Soybeans (Globex), Jan 25</v>
        <stp/>
        <stp>ContractData</stp>
        <stp>ZSEF25</stp>
        <stp>LongDescription</stp>
        <stp/>
        <stp>T</stp>
        <tr r="AH3" s="6"/>
      </tp>
      <tp t="s">
        <v>Soybeans (Globex), Jan 26</v>
        <stp/>
        <stp>ContractData</stp>
        <stp>ZSEF26</stp>
        <stp>LongDescription</stp>
        <stp/>
        <stp>T</stp>
        <tr r="AH10" s="6"/>
      </tp>
      <tp t="s">
        <v>Soybeans (Globex), Jul 25</v>
        <stp/>
        <stp>ContractData</stp>
        <stp>ZSEN25</stp>
        <stp>LongDescription</stp>
        <stp/>
        <stp>T</stp>
        <tr r="AH6" s="6"/>
      </tp>
      <tp t="s">
        <v>Soybeans (Globex), Jul 26</v>
        <stp/>
        <stp>ContractData</stp>
        <stp>ZSEN26</stp>
        <stp>LongDescription</stp>
        <stp/>
        <stp>T</stp>
        <tr r="AH13" s="6"/>
      </tp>
      <tp t="s">
        <v>Soybeans (Globex), Mar 25</v>
        <stp/>
        <stp>ContractData</stp>
        <stp>ZSEH25</stp>
        <stp>LongDescription</stp>
        <stp/>
        <stp>T</stp>
        <tr r="AH4" s="6"/>
      </tp>
      <tp t="s">
        <v>Soybeans (Globex), Mar 26</v>
        <stp/>
        <stp>ContractData</stp>
        <stp>ZSEH26</stp>
        <stp>LongDescription</stp>
        <stp/>
        <stp>T</stp>
        <tr r="AH11" s="6"/>
      </tp>
      <tp t="s">
        <v>Soybeans (Globex), May 25</v>
        <stp/>
        <stp>ContractData</stp>
        <stp>ZSEK25</stp>
        <stp>LongDescription</stp>
        <stp/>
        <stp>T</stp>
        <tr r="AH5" s="6"/>
      </tp>
      <tp t="s">
        <v>Soybeans (Globex), May 26</v>
        <stp/>
        <stp>ContractData</stp>
        <stp>ZSEK26</stp>
        <stp>LongDescription</stp>
        <stp/>
        <stp>T</stp>
        <tr r="AH12" s="6"/>
      </tp>
      <tp t="s">
        <v>Soybeans (Globex), Sep 25</v>
        <stp/>
        <stp>ContractData</stp>
        <stp>ZSEU25</stp>
        <stp>LongDescription</stp>
        <stp/>
        <stp>T</stp>
        <tr r="AH8" s="6"/>
      </tp>
      <tp t="s">
        <v>Soybeans (Globex), Aug 25</v>
        <stp/>
        <stp>ContractData</stp>
        <stp>ZSEQ25</stp>
        <stp>LongDescription</stp>
        <stp/>
        <stp>T</stp>
        <tr r="AH7" s="6"/>
      </tp>
      <tp t="s">
        <v>Soybeans (Globex), Nov 24</v>
        <stp/>
        <stp>ContractData</stp>
        <stp>ZSEX24</stp>
        <stp>LongDescription</stp>
        <stp/>
        <stp>T</stp>
        <tr r="AH2" s="6"/>
      </tp>
      <tp t="s">
        <v>Soybeans (Globex), Nov 25</v>
        <stp/>
        <stp>ContractData</stp>
        <stp>ZSEX25</stp>
        <stp>LongDescription</stp>
        <stp/>
        <stp>T</stp>
        <tr r="AH9" s="6"/>
      </tp>
      <tp>
        <v>1041.5</v>
        <stp/>
        <stp>StudyData</stp>
        <stp>Close(ZSE?6)when (LocalMonth(ZSE?6)=10 and LocalDay(ZSE?6)=15 and LocalYear(ZSEQ25)=2024)</stp>
        <stp>Bar</stp>
        <stp/>
        <stp>Close</stp>
        <stp>D</stp>
        <stp>0</stp>
        <stp>ALL</stp>
        <stp/>
        <stp/>
        <stp>FALSE</stp>
        <stp>T</stp>
        <tr r="E21" s="9"/>
        <tr r="E21" s="11"/>
        <tr r="E21" s="7"/>
        <tr r="E21" s="10"/>
        <tr r="E21" s="6"/>
        <tr r="E21" s="6"/>
        <tr r="E21" s="8"/>
      </tp>
      <tp>
        <v>1050.75</v>
        <stp/>
        <stp>StudyData</stp>
        <stp>Close(ZSE?10)when (LocalMonth(ZSE?10)=10 and LocalDay(ZSE?10)=15 and LocalYear(ZSEH26)=2024)</stp>
        <stp>Bar</stp>
        <stp/>
        <stp>Close</stp>
        <stp>D</stp>
        <stp>0</stp>
        <stp>ALL</stp>
        <stp/>
        <stp/>
        <stp>FALSE</stp>
        <stp>T</stp>
        <tr r="E25" s="9"/>
        <tr r="E25" s="11"/>
        <tr r="E25" s="6"/>
        <tr r="E25" s="6"/>
        <tr r="E25" s="10"/>
        <tr r="E25" s="7"/>
        <tr r="E25" s="8"/>
      </tp>
      <tp>
        <v>1057</v>
        <stp/>
        <stp>StudyData</stp>
        <stp>Close(ZSE?11)when (LocalMonth(ZSE?11)=10 and LocalDay(ZSE?11)=15 and LocalYear(ZSEK26)=2024)</stp>
        <stp>Bar</stp>
        <stp/>
        <stp>Close</stp>
        <stp>D</stp>
        <stp>0</stp>
        <stp>ALL</stp>
        <stp/>
        <stp/>
        <stp>FALSE</stp>
        <stp>T</stp>
        <tr r="E26" s="9"/>
        <tr r="E26" s="7"/>
        <tr r="E26" s="10"/>
        <tr r="E26" s="11"/>
        <tr r="E26" s="6"/>
        <tr r="E26" s="6"/>
        <tr r="E26" s="8"/>
      </tp>
      <tp>
        <v>1033.25</v>
        <stp/>
        <stp>StudyData</stp>
        <stp>Close(ZSE?7)when (LocalMonth(ZSE?7)=10 and LocalDay(ZSE?7)=15 and LocalYear(ZSEU25)=2024)</stp>
        <stp>Bar</stp>
        <stp/>
        <stp>Close</stp>
        <stp>D</stp>
        <stp>0</stp>
        <stp>ALL</stp>
        <stp/>
        <stp/>
        <stp>FALSE</stp>
        <stp>T</stp>
        <tr r="E22" s="6"/>
        <tr r="E22" s="6"/>
        <tr r="E22" s="9"/>
        <tr r="E22" s="8"/>
        <tr r="E22" s="11"/>
        <tr r="E22" s="10"/>
        <tr r="E22" s="7"/>
      </tp>
      <tp>
        <v>-35.25</v>
        <stp/>
        <stp>ContractData</stp>
        <stp>ZSES3F5</stp>
        <stp>LastTradeorSettle</stp>
        <stp/>
        <stp>T</stp>
        <tr r="W3" s="8"/>
      </tp>
      <tp>
        <v>-24.5</v>
        <stp/>
        <stp>ContractData</stp>
        <stp>ZSES2F5</stp>
        <stp>LastTradeorSettle</stp>
        <stp/>
        <stp>T</stp>
        <tr r="W3" s="7"/>
      </tp>
      <tp>
        <v>-11.75</v>
        <stp/>
        <stp>ContractData</stp>
        <stp>ZSES1F5</stp>
        <stp>LastTradeorSettle</stp>
        <stp/>
        <stp>T</stp>
        <tr r="W3" s="6"/>
        <tr r="W3" s="6"/>
      </tp>
      <tp>
        <v>-15.75</v>
        <stp/>
        <stp>ContractData</stp>
        <stp>ZSES6F5</stp>
        <stp>LastTradeorSettle</stp>
        <stp/>
        <stp>T</stp>
        <tr r="W3" s="11"/>
      </tp>
      <tp>
        <v>-18</v>
        <stp/>
        <stp>ContractData</stp>
        <stp>ZSES5F5</stp>
        <stp>LastTradeorSettle</stp>
        <stp/>
        <stp>T</stp>
        <tr r="W3" s="10"/>
      </tp>
      <tp>
        <v>-33.25</v>
        <stp/>
        <stp>ContractData</stp>
        <stp>ZSES4F5</stp>
        <stp>LastTradeorSettle</stp>
        <stp/>
        <stp>T</stp>
        <tr r="W3" s="9"/>
      </tp>
      <tp t="s">
        <v/>
        <stp/>
        <stp>ContractData</stp>
        <stp>ZSES3F6</stp>
        <stp>LastTradeorSettle</stp>
        <stp/>
        <stp>T</stp>
        <tr r="W10" s="8"/>
      </tp>
      <tp t="s">
        <v/>
        <stp/>
        <stp>ContractData</stp>
        <stp>ZSES2F6</stp>
        <stp>LastTradeorSettle</stp>
        <stp/>
        <stp>T</stp>
        <tr r="W10" s="7"/>
      </tp>
      <tp>
        <v>0.25</v>
        <stp/>
        <stp>ContractData</stp>
        <stp>ZSES1F6</stp>
        <stp>LastTradeorSettle</stp>
        <stp/>
        <stp>T</stp>
        <tr r="W10" s="6"/>
        <tr r="W10" s="6"/>
      </tp>
      <tp t="s">
        <v/>
        <stp/>
        <stp>ContractData</stp>
        <stp>ZSES6F6</stp>
        <stp>LastTradeorSettle</stp>
        <stp/>
        <stp>T</stp>
        <tr r="W10" s="11"/>
      </tp>
      <tp t="s">
        <v/>
        <stp/>
        <stp>ContractData</stp>
        <stp>ZSES5F6</stp>
        <stp>LastTradeorSettle</stp>
        <stp/>
        <stp>T</stp>
        <tr r="W10" s="10"/>
      </tp>
      <tp t="s">
        <v/>
        <stp/>
        <stp>ContractData</stp>
        <stp>ZSES4F6</stp>
        <stp>LastTradeorSettle</stp>
        <stp/>
        <stp>T</stp>
        <tr r="W10" s="9"/>
      </tp>
      <tp>
        <v>2.25</v>
        <stp/>
        <stp>ContractData</stp>
        <stp>ZSES1X4</stp>
        <stp>NetLastQuoteToday</stp>
        <stp/>
        <stp>T</stp>
        <tr r="X2" s="6"/>
      </tp>
      <tp>
        <v>-1.5</v>
        <stp/>
        <stp>ContractData</stp>
        <stp>ZSES3X4</stp>
        <stp>NetLastQuoteToday</stp>
        <stp/>
        <stp>T</stp>
        <tr r="X2" s="8"/>
      </tp>
      <tp>
        <v>-2</v>
        <stp/>
        <stp>ContractData</stp>
        <stp>ZSES2X4</stp>
        <stp>NetLastQuoteToday</stp>
        <stp/>
        <stp>T</stp>
        <tr r="X2" s="7"/>
      </tp>
      <tp>
        <v>7</v>
        <stp/>
        <stp>ContractData</stp>
        <stp>ZSES5X4</stp>
        <stp>NetLastQuoteToday</stp>
        <stp/>
        <stp>T</stp>
        <tr r="X2" s="10"/>
      </tp>
      <tp>
        <v>-1</v>
        <stp/>
        <stp>ContractData</stp>
        <stp>ZSES4X4</stp>
        <stp>NetLastQuoteToday</stp>
        <stp/>
        <stp>T</stp>
        <tr r="X2" s="9"/>
      </tp>
      <tp>
        <v>2</v>
        <stp/>
        <stp>ContractData</stp>
        <stp>ZSES6X4</stp>
        <stp>NetLastQuoteToday</stp>
        <stp/>
        <stp>T</stp>
        <tr r="X2" s="11"/>
      </tp>
      <tp>
        <v>0.25</v>
        <stp/>
        <stp>ContractData</stp>
        <stp>ZSES1X5</stp>
        <stp>NetLastQuoteToday</stp>
        <stp/>
        <stp>T</stp>
        <tr r="X9" s="6"/>
      </tp>
      <tp>
        <v>2.5</v>
        <stp/>
        <stp>ContractData</stp>
        <stp>ZSES3X5</stp>
        <stp>NetLastQuoteToday</stp>
        <stp/>
        <stp>T</stp>
        <tr r="X9" s="8"/>
      </tp>
      <tp>
        <v>0.75</v>
        <stp/>
        <stp>ContractData</stp>
        <stp>ZSES2X5</stp>
        <stp>NetLastQuoteToday</stp>
        <stp/>
        <stp>T</stp>
        <tr r="X9" s="7"/>
      </tp>
      <tp t="s">
        <v/>
        <stp/>
        <stp>ContractData</stp>
        <stp>ZSES5X5</stp>
        <stp>NetLastQuoteToday</stp>
        <stp/>
        <stp>T</stp>
        <tr r="X9" s="10"/>
      </tp>
      <tp>
        <v>1</v>
        <stp/>
        <stp>ContractData</stp>
        <stp>ZSES4X5</stp>
        <stp>NetLastQuoteToday</stp>
        <stp/>
        <stp>T</stp>
        <tr r="X9" s="9"/>
      </tp>
      <tp>
        <v>29.5</v>
        <stp/>
        <stp>ContractData</stp>
        <stp>ZSES6X5</stp>
        <stp>NetLastQuoteToday</stp>
        <stp/>
        <stp>T</stp>
        <tr r="X9" s="11"/>
      </tp>
      <tp>
        <v>1064.75</v>
        <stp/>
        <stp>StudyData</stp>
        <stp>Close(ZSE?12)when (LocalMonth(ZSE?12)=10 and LocalDay(ZSE?12)=15 and LocalYear(ZSEN26)=2024)</stp>
        <stp>Bar</stp>
        <stp/>
        <stp>Close</stp>
        <stp>D</stp>
        <stp>0</stp>
        <stp>ALL</stp>
        <stp/>
        <stp/>
        <stp>FALSE</stp>
        <stp>T</stp>
        <tr r="E27" s="11"/>
        <tr r="E27" s="9"/>
        <tr r="E27" s="6"/>
        <tr r="E27" s="6"/>
        <tr r="E27" s="8"/>
        <tr r="E27" s="10"/>
        <tr r="E27" s="7"/>
      </tp>
      <tp>
        <v>0</v>
        <stp/>
        <stp>ContractData</stp>
        <stp>ZSES6X24</stp>
        <stp>T_CVol</stp>
        <tr r="I109" s="2"/>
      </tp>
      <tp>
        <v>0</v>
        <stp/>
        <stp>ContractData</stp>
        <stp>ZSES6X25</stp>
        <stp>T_CVol</stp>
        <tr r="I116" s="2"/>
      </tp>
      <tp>
        <v>0</v>
        <stp/>
        <stp>ContractData</stp>
        <stp>ZSES6Q25</stp>
        <stp>T_CVol</stp>
        <tr r="I114" s="2"/>
      </tp>
      <tp>
        <v>0</v>
        <stp/>
        <stp>ContractData</stp>
        <stp>ZSES6U25</stp>
        <stp>T_CVol</stp>
        <tr r="I115" s="2"/>
      </tp>
      <tp>
        <v>1</v>
        <stp/>
        <stp>ContractData</stp>
        <stp>ZSES6H25</stp>
        <stp>T_CVol</stp>
        <tr r="I111" s="2"/>
      </tp>
      <tp>
        <v>0</v>
        <stp/>
        <stp>ContractData</stp>
        <stp>ZSES6H26</stp>
        <stp>T_CVol</stp>
        <tr r="I118" s="2"/>
      </tp>
      <tp>
        <v>1</v>
        <stp/>
        <stp>ContractData</stp>
        <stp>ZSES6K25</stp>
        <stp>T_CVol</stp>
        <tr r="I112" s="2"/>
      </tp>
      <tp>
        <v>0</v>
        <stp/>
        <stp>ContractData</stp>
        <stp>ZSES6K26</stp>
        <stp>T_CVol</stp>
        <tr r="I119" s="2"/>
      </tp>
      <tp>
        <v>0</v>
        <stp/>
        <stp>ContractData</stp>
        <stp>ZSES6N25</stp>
        <stp>T_CVol</stp>
        <tr r="I113" s="2"/>
      </tp>
      <tp>
        <v>0</v>
        <stp/>
        <stp>ContractData</stp>
        <stp>ZSES6N26</stp>
        <stp>T_CVol</stp>
        <tr r="I120" s="2"/>
      </tp>
      <tp>
        <v>704</v>
        <stp/>
        <stp>ContractData</stp>
        <stp>ZSES6F25</stp>
        <stp>T_CVol</stp>
        <tr r="I110" s="2"/>
      </tp>
      <tp>
        <v>0</v>
        <stp/>
        <stp>ContractData</stp>
        <stp>ZSES6F26</stp>
        <stp>T_CVol</stp>
        <tr r="I117" s="2"/>
      </tp>
      <tp>
        <v>0.25</v>
        <stp/>
        <stp>ContractData</stp>
        <stp>Tsize(ZSE)</stp>
        <stp>LastQuoteToday</stp>
        <stp/>
        <stp>T</stp>
        <tr r="C1" s="2"/>
        <tr r="C1" s="2"/>
      </tp>
      <tp>
        <v>1016.75</v>
        <stp/>
        <stp>StudyData</stp>
        <stp>Close(ZSE?3)when (LocalMonth(ZSE?3)=10 and LocalDay(ZSE?3)=15 and LocalYear(ZSEH25)=2024)</stp>
        <stp>Bar</stp>
        <stp/>
        <stp>Close</stp>
        <stp>D</stp>
        <stp>0</stp>
        <stp>ALL</stp>
        <stp/>
        <stp/>
        <stp>FALSE</stp>
        <stp>T</stp>
        <tr r="E18" s="8"/>
        <tr r="E18" s="6"/>
        <tr r="E18" s="6"/>
        <tr r="E18" s="11"/>
        <tr r="E18" s="10"/>
        <tr r="E18" s="9"/>
        <tr r="E18" s="7"/>
      </tp>
      <tp>
        <v>0</v>
        <stp/>
        <stp>ContractData</stp>
        <stp>ZSES4X24</stp>
        <stp>T_CVol</stp>
        <tr r="I77" s="2"/>
      </tp>
      <tp>
        <v>251</v>
        <stp/>
        <stp>ContractData</stp>
        <stp>ZSES4X25</stp>
        <stp>T_CVol</stp>
        <tr r="I84" s="2"/>
      </tp>
      <tp>
        <v>0</v>
        <stp/>
        <stp>ContractData</stp>
        <stp>ZSES4Q25</stp>
        <stp>T_CVol</stp>
        <tr r="I82" s="2"/>
      </tp>
      <tp>
        <v>0</v>
        <stp/>
        <stp>ContractData</stp>
        <stp>ZSES4U25</stp>
        <stp>T_CVol</stp>
        <tr r="I83" s="2"/>
      </tp>
      <tp>
        <v>85</v>
        <stp/>
        <stp>ContractData</stp>
        <stp>ZSES4H25</stp>
        <stp>T_CVol</stp>
        <tr r="I79" s="2"/>
      </tp>
      <tp>
        <v>0</v>
        <stp/>
        <stp>ContractData</stp>
        <stp>ZSES4H26</stp>
        <stp>T_CVol</stp>
        <tr r="I86" s="2"/>
      </tp>
      <tp>
        <v>1030.5</v>
        <stp/>
        <stp>StudyData</stp>
        <stp>Close(ZSE?4)when (LocalMonth(ZSE?4)=10 and LocalDay(ZSE?4)=15 and LocalYear(ZSEK25)=2024)</stp>
        <stp>Bar</stp>
        <stp/>
        <stp>Close</stp>
        <stp>D</stp>
        <stp>0</stp>
        <stp>ALL</stp>
        <stp/>
        <stp/>
        <stp>FALSE</stp>
        <stp>T</stp>
        <tr r="E19" s="8"/>
        <tr r="E19" s="7"/>
        <tr r="E19" s="10"/>
        <tr r="E19" s="9"/>
        <tr r="E19" s="6"/>
        <tr r="E19" s="6"/>
        <tr r="E19" s="11"/>
      </tp>
      <tp>
        <v>140</v>
        <stp/>
        <stp>ContractData</stp>
        <stp>ZSES4K25</stp>
        <stp>T_CVol</stp>
        <tr r="I80" s="2"/>
      </tp>
      <tp>
        <v>0</v>
        <stp/>
        <stp>ContractData</stp>
        <stp>ZSES4K26</stp>
        <stp>T_CVol</stp>
        <tr r="I87" s="2"/>
      </tp>
      <tp>
        <v>0</v>
        <stp/>
        <stp>ContractData</stp>
        <stp>ZSES4N25</stp>
        <stp>T_CVol</stp>
        <tr r="I81" s="2"/>
      </tp>
      <tp>
        <v>0</v>
        <stp/>
        <stp>ContractData</stp>
        <stp>ZSES4N26</stp>
        <stp>T_CVol</stp>
        <tr r="I88" s="2"/>
      </tp>
      <tp>
        <v>206</v>
        <stp/>
        <stp>ContractData</stp>
        <stp>ZSES4F25</stp>
        <stp>T_CVol</stp>
        <tr r="I78" s="2"/>
      </tp>
      <tp>
        <v>0</v>
        <stp/>
        <stp>ContractData</stp>
        <stp>ZSES4F26</stp>
        <stp>T_CVol</stp>
        <tr r="I85" s="2"/>
      </tp>
      <tp t="s">
        <v/>
        <stp/>
        <stp>ContractData</stp>
        <stp>ZSES3X4</stp>
        <stp>LastTradeorSettle</stp>
        <stp/>
        <stp>T</stp>
        <tr r="W2" s="8"/>
      </tp>
      <tp>
        <v>-21.5</v>
        <stp/>
        <stp>ContractData</stp>
        <stp>ZSES2X4</stp>
        <stp>LastTradeorSettle</stp>
        <stp/>
        <stp>T</stp>
        <tr r="W2" s="7"/>
      </tp>
      <tp>
        <v>-12.5</v>
        <stp/>
        <stp>ContractData</stp>
        <stp>ZSES1X4</stp>
        <stp>LastTradeorSettle</stp>
        <stp/>
        <stp>T</stp>
        <tr r="W2" s="6"/>
        <tr r="W2" s="6"/>
      </tp>
      <tp t="s">
        <v/>
        <stp/>
        <stp>ContractData</stp>
        <stp>ZSES6X4</stp>
        <stp>LastTradeorSettle</stp>
        <stp/>
        <stp>T</stp>
        <tr r="W2" s="11"/>
      </tp>
      <tp t="s">
        <v/>
        <stp/>
        <stp>ContractData</stp>
        <stp>ZSES5X4</stp>
        <stp>LastTradeorSettle</stp>
        <stp/>
        <stp>T</stp>
        <tr r="W2" s="10"/>
      </tp>
      <tp t="s">
        <v/>
        <stp/>
        <stp>ContractData</stp>
        <stp>ZSES4X4</stp>
        <stp>LastTradeorSettle</stp>
        <stp/>
        <stp>T</stp>
        <tr r="W2" s="9"/>
      </tp>
      <tp t="s">
        <v/>
        <stp/>
        <stp>ContractData</stp>
        <stp>ZSES3X5</stp>
        <stp>LastTradeorSettle</stp>
        <stp/>
        <stp>T</stp>
        <tr r="W9" s="8"/>
      </tp>
      <tp>
        <v>-8.75</v>
        <stp/>
        <stp>ContractData</stp>
        <stp>ZSES2X5</stp>
        <stp>LastTradeorSettle</stp>
        <stp/>
        <stp>T</stp>
        <tr r="W9" s="7"/>
      </tp>
      <tp>
        <v>-9.25</v>
        <stp/>
        <stp>ContractData</stp>
        <stp>ZSES1X5</stp>
        <stp>LastTradeorSettle</stp>
        <stp/>
        <stp>T</stp>
        <tr r="W9" s="6"/>
        <tr r="W9" s="6"/>
      </tp>
      <tp t="s">
        <v/>
        <stp/>
        <stp>ContractData</stp>
        <stp>ZSES6X5</stp>
        <stp>LastTradeorSettle</stp>
        <stp/>
        <stp>T</stp>
        <tr r="W9" s="11"/>
      </tp>
      <tp t="s">
        <v/>
        <stp/>
        <stp>ContractData</stp>
        <stp>ZSES5X5</stp>
        <stp>LastTradeorSettle</stp>
        <stp/>
        <stp>T</stp>
        <tr r="W9" s="10"/>
      </tp>
      <tp>
        <v>-22.25</v>
        <stp/>
        <stp>ContractData</stp>
        <stp>ZSES4X5</stp>
        <stp>LastTradeorSettle</stp>
        <stp/>
        <stp>T</stp>
        <tr r="W9" s="9"/>
      </tp>
      <tp>
        <v>1.5</v>
        <stp/>
        <stp>ContractData</stp>
        <stp>ZSES1F5</stp>
        <stp>NetLastQuoteToday</stp>
        <stp/>
        <stp>T</stp>
        <tr r="X3" s="6"/>
      </tp>
      <tp>
        <v>2.5</v>
        <stp/>
        <stp>ContractData</stp>
        <stp>ZSES3F5</stp>
        <stp>NetLastQuoteToday</stp>
        <stp/>
        <stp>T</stp>
        <tr r="X3" s="8"/>
      </tp>
      <tp>
        <v>2</v>
        <stp/>
        <stp>ContractData</stp>
        <stp>ZSES2F5</stp>
        <stp>NetLastQuoteToday</stp>
        <stp/>
        <stp>T</stp>
        <tr r="X3" s="7"/>
      </tp>
      <tp>
        <v>5.25</v>
        <stp/>
        <stp>ContractData</stp>
        <stp>ZSES5F5</stp>
        <stp>NetLastQuoteToday</stp>
        <stp/>
        <stp>T</stp>
        <tr r="X3" s="10"/>
      </tp>
      <tp>
        <v>4</v>
        <stp/>
        <stp>ContractData</stp>
        <stp>ZSES4F5</stp>
        <stp>NetLastQuoteToday</stp>
        <stp/>
        <stp>T</stp>
        <tr r="X3" s="9"/>
      </tp>
      <tp>
        <v>6.5</v>
        <stp/>
        <stp>ContractData</stp>
        <stp>ZSES6F5</stp>
        <stp>NetLastQuoteToday</stp>
        <stp/>
        <stp>T</stp>
        <tr r="X3" s="11"/>
      </tp>
      <tp>
        <v>0.5</v>
        <stp/>
        <stp>ContractData</stp>
        <stp>ZSES1F6</stp>
        <stp>NetLastQuoteToday</stp>
        <stp/>
        <stp>T</stp>
        <tr r="X10" s="6"/>
      </tp>
      <tp>
        <v>3</v>
        <stp/>
        <stp>ContractData</stp>
        <stp>ZSES3F6</stp>
        <stp>NetLastQuoteToday</stp>
        <stp/>
        <stp>T</stp>
        <tr r="X10" s="8"/>
      </tp>
      <tp>
        <v>2.25</v>
        <stp/>
        <stp>ContractData</stp>
        <stp>ZSES2F6</stp>
        <stp>NetLastQuoteToday</stp>
        <stp/>
        <stp>T</stp>
        <tr r="X10" s="7"/>
      </tp>
      <tp>
        <v>29.25</v>
        <stp/>
        <stp>ContractData</stp>
        <stp>ZSES5F6</stp>
        <stp>NetLastQuoteToday</stp>
        <stp/>
        <stp>T</stp>
        <tr r="X10" s="10"/>
      </tp>
      <tp t="s">
        <v/>
        <stp/>
        <stp>ContractData</stp>
        <stp>ZSES4F6</stp>
        <stp>NetLastQuoteToday</stp>
        <stp/>
        <stp>T</stp>
        <tr r="X10" s="9"/>
      </tp>
      <tp>
        <v>-0.25</v>
        <stp/>
        <stp>ContractData</stp>
        <stp>ZSES6F6</stp>
        <stp>NetLastQuoteToday</stp>
        <stp/>
        <stp>T</stp>
        <tr r="X10" s="11"/>
      </tp>
      <tp>
        <v>0</v>
        <stp/>
        <stp>ContractData</stp>
        <stp>ZSES5X24</stp>
        <stp>T_CVol</stp>
        <tr r="I93" s="2"/>
      </tp>
      <tp>
        <v>0</v>
        <stp/>
        <stp>ContractData</stp>
        <stp>ZSES5X25</stp>
        <stp>T_CVol</stp>
        <tr r="I100" s="2"/>
      </tp>
      <tp>
        <v>0</v>
        <stp/>
        <stp>ContractData</stp>
        <stp>ZSES5Q25</stp>
        <stp>T_CVol</stp>
        <tr r="I98" s="2"/>
      </tp>
      <tp>
        <v>0</v>
        <stp/>
        <stp>ContractData</stp>
        <stp>ZSES5U25</stp>
        <stp>T_CVol</stp>
        <tr r="I99" s="2"/>
      </tp>
      <tp>
        <v>617</v>
        <stp/>
        <stp>ContractData</stp>
        <stp>ZSES5H25</stp>
        <stp>T_CVol</stp>
        <tr r="I95" s="2"/>
      </tp>
      <tp>
        <v>0</v>
        <stp/>
        <stp>ContractData</stp>
        <stp>ZSES5H26</stp>
        <stp>T_CVol</stp>
        <tr r="I102" s="2"/>
      </tp>
      <tp>
        <v>3</v>
        <stp/>
        <stp>ContractData</stp>
        <stp>ZSES5K25</stp>
        <stp>T_CVol</stp>
        <tr r="I96" s="2"/>
      </tp>
      <tp>
        <v>0</v>
        <stp/>
        <stp>ContractData</stp>
        <stp>ZSES5K26</stp>
        <stp>T_CVol</stp>
        <tr r="I103" s="2"/>
      </tp>
      <tp>
        <v>0</v>
        <stp/>
        <stp>ContractData</stp>
        <stp>ZSES5N25</stp>
        <stp>T_CVol</stp>
        <tr r="I97" s="2"/>
      </tp>
      <tp>
        <v>0</v>
        <stp/>
        <stp>ContractData</stp>
        <stp>ZSES5N26</stp>
        <stp>T_CVol</stp>
        <tr r="I104" s="2"/>
      </tp>
      <tp>
        <v>75</v>
        <stp/>
        <stp>ContractData</stp>
        <stp>ZSES5F25</stp>
        <stp>T_CVol</stp>
        <tr r="I94" s="2"/>
      </tp>
      <tp>
        <v>0</v>
        <stp/>
        <stp>ContractData</stp>
        <stp>ZSES5F26</stp>
        <stp>T_CVol</stp>
        <tr r="I101" s="2"/>
      </tp>
      <tp t="s">
        <v>NOV</v>
        <stp/>
        <stp>ContractData</stp>
        <stp>ZSEX24</stp>
        <stp>ContractMonth</stp>
        <tr r="B2" s="6"/>
        <tr r="B2" s="10"/>
        <tr r="B2" s="7"/>
        <tr r="B2" s="9"/>
        <tr r="B2" s="8"/>
        <tr r="B2" s="11"/>
      </tp>
      <tp>
        <v>1</v>
        <stp/>
        <stp>ContractData</stp>
        <stp>ZSES2X24</stp>
        <stp>T_CVol</stp>
        <tr r="I45" s="2"/>
      </tp>
      <tp>
        <v>213</v>
        <stp/>
        <stp>ContractData</stp>
        <stp>ZSES2X25</stp>
        <stp>T_CVol</stp>
        <tr r="I52" s="2"/>
      </tp>
      <tp>
        <v>67</v>
        <stp/>
        <stp>ContractData</stp>
        <stp>ZSES2Q25</stp>
        <stp>T_CVol</stp>
        <tr r="I50" s="2"/>
      </tp>
      <tp>
        <v>3</v>
        <stp/>
        <stp>ContractData</stp>
        <stp>ZSES2U25</stp>
        <stp>T_CVol</stp>
        <tr r="I51" s="2"/>
      </tp>
      <tp>
        <v>1402</v>
        <stp/>
        <stp>ContractData</stp>
        <stp>ZSES2H25</stp>
        <stp>T_CVol</stp>
        <tr r="I47" s="2"/>
      </tp>
      <tp>
        <v>78</v>
        <stp/>
        <stp>ContractData</stp>
        <stp>ZSES2H26</stp>
        <stp>T_CVol</stp>
        <tr r="I54" s="2"/>
      </tp>
      <tp>
        <v>83</v>
        <stp/>
        <stp>ContractData</stp>
        <stp>ZSES2K25</stp>
        <stp>T_CVol</stp>
        <tr r="I48" s="2"/>
      </tp>
      <tp>
        <v>0</v>
        <stp/>
        <stp>ContractData</stp>
        <stp>ZSES2K26</stp>
        <stp>T_CVol</stp>
        <tr r="I55" s="2"/>
      </tp>
      <tp>
        <v>98</v>
        <stp/>
        <stp>ContractData</stp>
        <stp>ZSES2N25</stp>
        <stp>T_CVol</stp>
        <tr r="I49" s="2"/>
      </tp>
      <tp>
        <v>0</v>
        <stp/>
        <stp>ContractData</stp>
        <stp>ZSES2N26</stp>
        <stp>T_CVol</stp>
        <tr r="I56" s="2"/>
      </tp>
      <tp>
        <v>2857</v>
        <stp/>
        <stp>ContractData</stp>
        <stp>ZSES2F25</stp>
        <stp>T_CVol</stp>
        <tr r="I46" s="2"/>
      </tp>
      <tp>
        <v>0</v>
        <stp/>
        <stp>ContractData</stp>
        <stp>ZSES2F26</stp>
        <stp>T_CVol</stp>
        <tr r="I53" s="2"/>
      </tp>
      <tp t="s">
        <v>JAN</v>
        <stp/>
        <stp>ContractData</stp>
        <stp>ZSEF25</stp>
        <stp>ContractMonth</stp>
        <tr r="B3" s="8"/>
        <tr r="B3" s="10"/>
        <tr r="B3" s="7"/>
        <tr r="B3" s="6"/>
        <tr r="B3" s="11"/>
        <tr r="B3" s="9"/>
      </tp>
      <tp t="s">
        <v>MAY</v>
        <stp/>
        <stp>ContractData</stp>
        <stp>ZSEK25</stp>
        <stp>ContractMonth</stp>
        <tr r="B5" s="8"/>
        <tr r="B5" s="6"/>
        <tr r="B5" s="11"/>
        <tr r="B5" s="10"/>
        <tr r="B5" s="7"/>
        <tr r="B5" s="9"/>
      </tp>
      <tp t="s">
        <v>MAR</v>
        <stp/>
        <stp>ContractData</stp>
        <stp>ZSEH25</stp>
        <stp>ContractMonth</stp>
        <tr r="B4" s="6"/>
        <tr r="B4" s="9"/>
        <tr r="B4" s="7"/>
        <tr r="B4" s="11"/>
        <tr r="B4" s="10"/>
        <tr r="B4" s="8"/>
      </tp>
      <tp t="s">
        <v>JUL</v>
        <stp/>
        <stp>ContractData</stp>
        <stp>ZSEN25</stp>
        <stp>ContractMonth</stp>
        <tr r="B6" s="7"/>
        <tr r="B6" s="6"/>
        <tr r="B6" s="9"/>
        <tr r="B6" s="8"/>
        <tr r="B6" s="11"/>
        <tr r="B6" s="10"/>
      </tp>
      <tp t="s">
        <v>AUG</v>
        <stp/>
        <stp>ContractData</stp>
        <stp>ZSEQ25</stp>
        <stp>ContractMonth</stp>
        <tr r="B7" s="7"/>
        <tr r="B7" s="10"/>
        <tr r="B7" s="11"/>
        <tr r="B7" s="9"/>
        <tr r="B7" s="6"/>
        <tr r="B7" s="8"/>
      </tp>
      <tp t="s">
        <v>SEP</v>
        <stp/>
        <stp>ContractData</stp>
        <stp>ZSEU25</stp>
        <stp>ContractMonth</stp>
        <tr r="B8" s="11"/>
        <tr r="B8" s="8"/>
        <tr r="B8" s="9"/>
        <tr r="B8" s="7"/>
        <tr r="B8" s="10"/>
        <tr r="B8" s="6"/>
      </tp>
      <tp t="s">
        <v>NOV</v>
        <stp/>
        <stp>ContractData</stp>
        <stp>ZSEX25</stp>
        <stp>ContractMonth</stp>
        <tr r="B9" s="7"/>
        <tr r="B9" s="6"/>
        <tr r="B9" s="11"/>
        <tr r="B9" s="9"/>
        <tr r="B9" s="10"/>
        <tr r="B9" s="8"/>
      </tp>
      <tp>
        <v>0</v>
        <stp/>
        <stp>ContractData</stp>
        <stp>ZSES3X24</stp>
        <stp>T_CVol</stp>
        <tr r="I61" s="2"/>
      </tp>
      <tp>
        <v>0</v>
        <stp/>
        <stp>ContractData</stp>
        <stp>ZSES3X25</stp>
        <stp>T_CVol</stp>
        <tr r="I68" s="2"/>
      </tp>
      <tp>
        <v>0</v>
        <stp/>
        <stp>ContractData</stp>
        <stp>ZSES3Q25</stp>
        <stp>T_CVol</stp>
        <tr r="I66" s="2"/>
      </tp>
      <tp>
        <v>0</v>
        <stp/>
        <stp>ContractData</stp>
        <stp>ZSES3U25</stp>
        <stp>T_CVol</stp>
        <tr r="I67" s="2"/>
      </tp>
      <tp>
        <v>144</v>
        <stp/>
        <stp>ContractData</stp>
        <stp>ZSES3H25</stp>
        <stp>T_CVol</stp>
        <tr r="I63" s="2"/>
      </tp>
      <tp>
        <v>0</v>
        <stp/>
        <stp>ContractData</stp>
        <stp>ZSES3H26</stp>
        <stp>T_CVol</stp>
        <tr r="I70" s="2"/>
      </tp>
      <tp>
        <v>45</v>
        <stp/>
        <stp>ContractData</stp>
        <stp>ZSES3K25</stp>
        <stp>T_CVol</stp>
        <tr r="I64" s="2"/>
      </tp>
      <tp>
        <v>0</v>
        <stp/>
        <stp>ContractData</stp>
        <stp>ZSES3K26</stp>
        <stp>T_CVol</stp>
        <tr r="I71" s="2"/>
      </tp>
      <tp>
        <v>2503</v>
        <stp/>
        <stp>ContractData</stp>
        <stp>ZSES3N25</stp>
        <stp>T_CVol</stp>
        <tr r="I65" s="2"/>
      </tp>
      <tp>
        <v>59</v>
        <stp/>
        <stp>ContractData</stp>
        <stp>ZSES3N26</stp>
        <stp>T_CVol</stp>
        <tr r="I72" s="2"/>
      </tp>
      <tp>
        <v>45607.416365740741</v>
        <stp/>
        <stp>SystemInfo</stp>
        <stp>Linetime</stp>
        <tr r="U3" s="2"/>
      </tp>
      <tp>
        <v>2014</v>
        <stp/>
        <stp>ContractData</stp>
        <stp>ZSES3F25</stp>
        <stp>T_CVol</stp>
        <tr r="I62" s="2"/>
      </tp>
      <tp>
        <v>0</v>
        <stp/>
        <stp>ContractData</stp>
        <stp>ZSES3F26</stp>
        <stp>T_CVol</stp>
        <tr r="I69" s="2"/>
      </tp>
      <tp t="s">
        <v>JAN</v>
        <stp/>
        <stp>ContractData</stp>
        <stp>ZSEF26</stp>
        <stp>ContractMonth</stp>
        <tr r="B10" s="9"/>
        <tr r="B10" s="6"/>
        <tr r="B10" s="8"/>
        <tr r="B10" s="11"/>
        <tr r="B10" s="7"/>
        <tr r="B10" s="10"/>
      </tp>
      <tp t="s">
        <v>MAY</v>
        <stp/>
        <stp>ContractData</stp>
        <stp>ZSEK26</stp>
        <stp>ContractMonth</stp>
        <tr r="B12" s="9"/>
        <tr r="B12" s="11"/>
        <tr r="B12" s="10"/>
        <tr r="B12" s="8"/>
        <tr r="B12" s="7"/>
        <tr r="B12" s="6"/>
      </tp>
      <tp t="s">
        <v>MAR</v>
        <stp/>
        <stp>ContractData</stp>
        <stp>ZSEH26</stp>
        <stp>ContractMonth</stp>
        <tr r="B11" s="8"/>
        <tr r="B11" s="6"/>
        <tr r="B11" s="10"/>
        <tr r="B11" s="7"/>
        <tr r="B11" s="11"/>
        <tr r="B11" s="9"/>
      </tp>
      <tp t="s">
        <v>JUL</v>
        <stp/>
        <stp>ContractData</stp>
        <stp>ZSEN26</stp>
        <stp>ContractMonth</stp>
        <tr r="B13" s="9"/>
        <tr r="B13" s="8"/>
        <tr r="B13" s="6"/>
        <tr r="B13" s="10"/>
        <tr r="B13" s="11"/>
        <tr r="B13" s="7"/>
      </tp>
      <tp>
        <v>-50.5</v>
        <stp/>
        <stp>StudyData</stp>
        <stp>Close(ZSES5??1)when (LocalMonth(ZSES5??1)=10 and LocalDay(ZSES5??1)=15 and LocalYear(ZSES5??1)=2024)</stp>
        <stp>Bar</stp>
        <stp/>
        <stp>Close</stp>
        <stp>D</stp>
        <stp>0</stp>
        <stp>ALL</stp>
        <stp/>
        <stp/>
        <stp>FALSE</stp>
        <stp>T</stp>
        <tr r="K16" s="10"/>
      </tp>
      <tp>
        <v>-50.25</v>
        <stp/>
        <stp>StudyData</stp>
        <stp>Close(ZSES4??1)when (LocalMonth(ZSES4??1)=10 and LocalDay(ZSES4??1)=15 and LocalYear(ZSES4??1)=2024)</stp>
        <stp>Bar</stp>
        <stp/>
        <stp>Close</stp>
        <stp>D</stp>
        <stp>0</stp>
        <stp>ALL</stp>
        <stp/>
        <stp/>
        <stp>FALSE</stp>
        <stp>T</stp>
        <tr r="K16" s="9"/>
      </tp>
      <tp>
        <v>-42.25</v>
        <stp/>
        <stp>StudyData</stp>
        <stp>Close(ZSES6??1)when (LocalMonth(ZSES6??1)=10 and LocalDay(ZSES6??1)=15 and LocalYear(ZSES6??1)=2024)</stp>
        <stp>Bar</stp>
        <stp/>
        <stp>Close</stp>
        <stp>D</stp>
        <stp>0</stp>
        <stp>ALL</stp>
        <stp/>
        <stp/>
        <stp>FALSE</stp>
        <stp>T</stp>
        <tr r="K16" s="11"/>
      </tp>
      <tp>
        <v>-12.5</v>
        <stp/>
        <stp>StudyData</stp>
        <stp>Close(ZSES1??1)when (LocalMonth(ZSES1??1)=10 and LocalDay(ZSES1??1)=15 and LocalYear(ZSES1??1)=2024)</stp>
        <stp>Bar</stp>
        <stp/>
        <stp>Close</stp>
        <stp>D</stp>
        <stp>0</stp>
        <stp>ALL</stp>
        <stp/>
        <stp/>
        <stp>FALSE</stp>
        <stp>T</stp>
        <tr r="K16" s="6"/>
      </tp>
      <tp>
        <v>-39.5</v>
        <stp/>
        <stp>StudyData</stp>
        <stp>Close(ZSES3??1)when (LocalMonth(ZSES3??1)=10 and LocalDay(ZSES3??1)=15 and LocalYear(ZSES3??1)=2024)</stp>
        <stp>Bar</stp>
        <stp/>
        <stp>Close</stp>
        <stp>D</stp>
        <stp>0</stp>
        <stp>ALL</stp>
        <stp/>
        <stp/>
        <stp>FALSE</stp>
        <stp>T</stp>
        <tr r="K16" s="8"/>
      </tp>
      <tp>
        <v>-25.75</v>
        <stp/>
        <stp>StudyData</stp>
        <stp>Close(ZSES2??1)when (LocalMonth(ZSES2??1)=10 and LocalDay(ZSES2??1)=15 and LocalYear(ZSES2??1)=2024)</stp>
        <stp>Bar</stp>
        <stp/>
        <stp>Close</stp>
        <stp>D</stp>
        <stp>0</stp>
        <stp>ALL</stp>
        <stp/>
        <stp/>
        <stp>FALSE</stp>
        <stp>T</stp>
        <tr r="K16" s="7"/>
      </tp>
      <tp>
        <v>-30.5</v>
        <stp/>
        <stp>StudyData</stp>
        <stp>Close(ZSES6??3)when (LocalMonth(ZSES6??3)=10 and LocalDay(ZSES6??3)=15 and LocalYear(ZSES6??3)=2024)</stp>
        <stp>Bar</stp>
        <stp/>
        <stp>Close</stp>
        <stp>D</stp>
        <stp>0</stp>
        <stp>ALL</stp>
        <stp/>
        <stp/>
        <stp>FALSE</stp>
        <stp>T</stp>
        <tr r="K18" s="11"/>
      </tp>
      <tp>
        <v>-19</v>
        <stp/>
        <stp>StudyData</stp>
        <stp>Close(ZSES5??3)when (LocalMonth(ZSES5??3)=10 and LocalDay(ZSES5??3)=15 and LocalYear(ZSES5??3)=2024)</stp>
        <stp>Bar</stp>
        <stp/>
        <stp>Close</stp>
        <stp>D</stp>
        <stp>0</stp>
        <stp>ALL</stp>
        <stp/>
        <stp/>
        <stp>FALSE</stp>
        <stp>T</stp>
        <tr r="K18" s="10"/>
      </tp>
      <tp>
        <v>-16.5</v>
        <stp/>
        <stp>StudyData</stp>
        <stp>Close(ZSES4??3)when (LocalMonth(ZSES4??3)=10 and LocalDay(ZSES4??3)=15 and LocalYear(ZSES4??3)=2024)</stp>
        <stp>Bar</stp>
        <stp/>
        <stp>Close</stp>
        <stp>D</stp>
        <stp>0</stp>
        <stp>ALL</stp>
        <stp/>
        <stp/>
        <stp>FALSE</stp>
        <stp>T</stp>
        <tr r="K18" s="9"/>
      </tp>
      <tp>
        <v>-24.75</v>
        <stp/>
        <stp>StudyData</stp>
        <stp>Close(ZSES3??3)when (LocalMonth(ZSES3??3)=10 and LocalDay(ZSES3??3)=15 and LocalYear(ZSES3??3)=2024)</stp>
        <stp>Bar</stp>
        <stp/>
        <stp>Close</stp>
        <stp>D</stp>
        <stp>0</stp>
        <stp>ALL</stp>
        <stp/>
        <stp/>
        <stp>FALSE</stp>
        <stp>T</stp>
        <tr r="K18" s="8"/>
      </tp>
      <tp>
        <v>-24.5</v>
        <stp/>
        <stp>StudyData</stp>
        <stp>Close(ZSES2??3)when (LocalMonth(ZSES2??3)=10 and LocalDay(ZSES2??3)=15 and LocalYear(ZSES2??3)=2024)</stp>
        <stp>Bar</stp>
        <stp/>
        <stp>Close</stp>
        <stp>D</stp>
        <stp>0</stp>
        <stp>ALL</stp>
        <stp/>
        <stp/>
        <stp>FALSE</stp>
        <stp>T</stp>
        <tr r="K18" s="7"/>
      </tp>
      <tp>
        <v>-13.75</v>
        <stp/>
        <stp>StudyData</stp>
        <stp>Close(ZSES1??3)when (LocalMonth(ZSES1??3)=10 and LocalDay(ZSES1??3)=15 and LocalYear(ZSES1??3)=2024)</stp>
        <stp>Bar</stp>
        <stp/>
        <stp>Close</stp>
        <stp>D</stp>
        <stp>0</stp>
        <stp>ALL</stp>
        <stp/>
        <stp/>
        <stp>FALSE</stp>
        <stp>T</stp>
        <tr r="K18" s="6"/>
      </tp>
      <tp>
        <v>-32.25</v>
        <stp/>
        <stp>StudyData</stp>
        <stp>Close(ZSES6??2)when (LocalMonth(ZSES6??2)=10 and LocalDay(ZSES6??2)=15 and LocalYear(ZSES6??2)=2024)</stp>
        <stp>Bar</stp>
        <stp/>
        <stp>Close</stp>
        <stp>D</stp>
        <stp>0</stp>
        <stp>ALL</stp>
        <stp/>
        <stp/>
        <stp>FALSE</stp>
        <stp>T</stp>
        <tr r="K17" s="11"/>
      </tp>
      <tp>
        <v>-38</v>
        <stp/>
        <stp>StudyData</stp>
        <stp>Close(ZSES4??2)when (LocalMonth(ZSES4??2)=10 and LocalDay(ZSES4??2)=15 and LocalYear(ZSES4??2)=2024)</stp>
        <stp>Bar</stp>
        <stp/>
        <stp>Close</stp>
        <stp>D</stp>
        <stp>0</stp>
        <stp>ALL</stp>
        <stp/>
        <stp/>
        <stp>FALSE</stp>
        <stp>T</stp>
        <tr r="K17" s="9"/>
      </tp>
      <tp>
        <v>-29.75</v>
        <stp/>
        <stp>StudyData</stp>
        <stp>Close(ZSES5??2)when (LocalMonth(ZSES5??2)=10 and LocalDay(ZSES5??2)=15 and LocalYear(ZSES5??2)=2024)</stp>
        <stp>Bar</stp>
        <stp/>
        <stp>Close</stp>
        <stp>D</stp>
        <stp>0</stp>
        <stp>ALL</stp>
        <stp/>
        <stp/>
        <stp>FALSE</stp>
        <stp>T</stp>
        <tr r="K17" s="10"/>
      </tp>
      <tp>
        <v>-27</v>
        <stp/>
        <stp>StudyData</stp>
        <stp>Close(ZSES2??2)when (LocalMonth(ZSES2??2)=10 and LocalDay(ZSES2??2)=15 and LocalYear(ZSES2??2)=2024)</stp>
        <stp>Bar</stp>
        <stp/>
        <stp>Close</stp>
        <stp>D</stp>
        <stp>0</stp>
        <stp>ALL</stp>
        <stp/>
        <stp/>
        <stp>FALSE</stp>
        <stp>T</stp>
        <tr r="K17" s="7"/>
      </tp>
      <tp>
        <v>-37.75</v>
        <stp/>
        <stp>StudyData</stp>
        <stp>Close(ZSES3??2)when (LocalMonth(ZSES3??2)=10 and LocalDay(ZSES3??2)=15 and LocalYear(ZSES3??2)=2024)</stp>
        <stp>Bar</stp>
        <stp/>
        <stp>Close</stp>
        <stp>D</stp>
        <stp>0</stp>
        <stp>ALL</stp>
        <stp/>
        <stp/>
        <stp>FALSE</stp>
        <stp>T</stp>
        <tr r="K17" s="8"/>
      </tp>
      <tp>
        <v>-13.25</v>
        <stp/>
        <stp>StudyData</stp>
        <stp>Close(ZSES1??2)when (LocalMonth(ZSES1??2)=10 and LocalDay(ZSES1??2)=15 and LocalYear(ZSES1??2)=2024)</stp>
        <stp>Bar</stp>
        <stp/>
        <stp>Close</stp>
        <stp>D</stp>
        <stp>0</stp>
        <stp>ALL</stp>
        <stp/>
        <stp/>
        <stp>FALSE</stp>
        <stp>T</stp>
        <tr r="K17" s="6"/>
      </tp>
      <tp>
        <v>-0.25</v>
        <stp/>
        <stp>StudyData</stp>
        <stp>Close(ZSES1??5)when (LocalMonth(ZSES1??5)=10 and LocalDay(ZSES1??5)=15 and LocalYear(ZSES1??5)=2024)</stp>
        <stp>Bar</stp>
        <stp/>
        <stp>Close</stp>
        <stp>D</stp>
        <stp>0</stp>
        <stp>ALL</stp>
        <stp/>
        <stp/>
        <stp>FALSE</stp>
        <stp>T</stp>
        <tr r="K20" s="6"/>
      </tp>
      <tp>
        <v>5.5</v>
        <stp/>
        <stp>StudyData</stp>
        <stp>Close(ZSES3??5)when (LocalMonth(ZSES3??5)=10 and LocalDay(ZSES3??5)=15 and LocalYear(ZSES3??5)=2024)</stp>
        <stp>Bar</stp>
        <stp/>
        <stp>Close</stp>
        <stp>D</stp>
        <stp>0</stp>
        <stp>ALL</stp>
        <stp/>
        <stp/>
        <stp>FALSE</stp>
        <stp>T</stp>
        <tr r="K20" s="8"/>
      </tp>
      <tp>
        <v>8</v>
        <stp/>
        <stp>StudyData</stp>
        <stp>Close(ZSES2??5)when (LocalMonth(ZSES2??5)=10 and LocalDay(ZSES2??5)=15 and LocalYear(ZSES2??5)=2024)</stp>
        <stp>Bar</stp>
        <stp/>
        <stp>Close</stp>
        <stp>D</stp>
        <stp>0</stp>
        <stp>ALL</stp>
        <stp/>
        <stp/>
        <stp>FALSE</stp>
        <stp>T</stp>
        <tr r="K20" s="7"/>
      </tp>
      <tp>
        <v>-9.5</v>
        <stp/>
        <stp>StudyData</stp>
        <stp>Close(ZSES5??5)when (LocalMonth(ZSES5??5)=10 and LocalDay(ZSES5??5)=15 and LocalYear(ZSES5??5)=2024)</stp>
        <stp>Bar</stp>
        <stp/>
        <stp>Close</stp>
        <stp>D</stp>
        <stp>0</stp>
        <stp>ALL</stp>
        <stp/>
        <stp/>
        <stp>FALSE</stp>
        <stp>T</stp>
        <tr r="K20" s="10"/>
      </tp>
      <tp>
        <v>-6</v>
        <stp/>
        <stp>StudyData</stp>
        <stp>Close(ZSES4??5)when (LocalMonth(ZSES4??5)=10 and LocalDay(ZSES4??5)=15 and LocalYear(ZSES4??5)=2024)</stp>
        <stp>Bar</stp>
        <stp/>
        <stp>Close</stp>
        <stp>D</stp>
        <stp>0</stp>
        <stp>ALL</stp>
        <stp/>
        <stp/>
        <stp>FALSE</stp>
        <stp>T</stp>
        <tr r="K20" s="9"/>
      </tp>
      <tp>
        <v>-15.75</v>
        <stp/>
        <stp>StudyData</stp>
        <stp>Close(ZSES6??5)when (LocalMonth(ZSES6??5)=10 and LocalDay(ZSES6??5)=15 and LocalYear(ZSES6??5)=2024)</stp>
        <stp>Bar</stp>
        <stp/>
        <stp>Close</stp>
        <stp>D</stp>
        <stp>0</stp>
        <stp>ALL</stp>
        <stp/>
        <stp/>
        <stp>FALSE</stp>
        <stp>T</stp>
        <tr r="K20" s="11"/>
      </tp>
      <tp>
        <v>-10.75</v>
        <stp/>
        <stp>StudyData</stp>
        <stp>Close(ZSES1??4)when (LocalMonth(ZSES1??4)=10 and LocalDay(ZSES1??4)=15 and LocalYear(ZSES1??4)=2024)</stp>
        <stp>Bar</stp>
        <stp/>
        <stp>Close</stp>
        <stp>D</stp>
        <stp>0</stp>
        <stp>ALL</stp>
        <stp/>
        <stp/>
        <stp>FALSE</stp>
        <stp>T</stp>
        <tr r="K19" s="6"/>
      </tp>
      <tp>
        <v>-11</v>
        <stp/>
        <stp>StudyData</stp>
        <stp>Close(ZSES2??4)when (LocalMonth(ZSES2??4)=10 and LocalDay(ZSES2??4)=15 and LocalYear(ZSES2??4)=2024)</stp>
        <stp>Bar</stp>
        <stp/>
        <stp>Close</stp>
        <stp>D</stp>
        <stp>0</stp>
        <stp>ALL</stp>
        <stp/>
        <stp/>
        <stp>FALSE</stp>
        <stp>T</stp>
        <tr r="K19" s="7"/>
      </tp>
      <tp>
        <v>-2.75</v>
        <stp/>
        <stp>StudyData</stp>
        <stp>Close(ZSES3??4)when (LocalMonth(ZSES3??4)=10 and LocalDay(ZSES3??4)=15 and LocalYear(ZSES3??4)=2024)</stp>
        <stp>Bar</stp>
        <stp/>
        <stp>Close</stp>
        <stp>D</stp>
        <stp>0</stp>
        <stp>ALL</stp>
        <stp/>
        <stp/>
        <stp>FALSE</stp>
        <stp>T</stp>
        <tr r="K19" s="8"/>
      </tp>
      <tp>
        <v>-5.25</v>
        <stp/>
        <stp>StudyData</stp>
        <stp>Close(ZSES4??4)when (LocalMonth(ZSES4??4)=10 and LocalDay(ZSES4??4)=15 and LocalYear(ZSES4??4)=2024)</stp>
        <stp>Bar</stp>
        <stp/>
        <stp>Close</stp>
        <stp>D</stp>
        <stp>0</stp>
        <stp>ALL</stp>
        <stp/>
        <stp/>
        <stp>FALSE</stp>
        <stp>T</stp>
        <tr r="K19" s="9"/>
      </tp>
      <tp>
        <v>-16.75</v>
        <stp/>
        <stp>StudyData</stp>
        <stp>Close(ZSES5??4)when (LocalMonth(ZSES5??4)=10 and LocalDay(ZSES5??4)=15 and LocalYear(ZSES5??4)=2024)</stp>
        <stp>Bar</stp>
        <stp/>
        <stp>Close</stp>
        <stp>D</stp>
        <stp>0</stp>
        <stp>ALL</stp>
        <stp/>
        <stp/>
        <stp>FALSE</stp>
        <stp>T</stp>
        <tr r="K19" s="10"/>
      </tp>
      <tp>
        <v>-20.25</v>
        <stp/>
        <stp>StudyData</stp>
        <stp>Close(ZSES6??4)when (LocalMonth(ZSES6??4)=10 and LocalDay(ZSES6??4)=15 and LocalYear(ZSES6??4)=2024)</stp>
        <stp>Bar</stp>
        <stp/>
        <stp>Close</stp>
        <stp>D</stp>
        <stp>0</stp>
        <stp>ALL</stp>
        <stp/>
        <stp/>
        <stp>FALSE</stp>
        <stp>T</stp>
        <tr r="K19" s="11"/>
      </tp>
      <tp>
        <v>-17.5</v>
        <stp/>
        <stp>StudyData</stp>
        <stp>Close(ZSES3??7)when (LocalMonth(ZSES3??7)=10 and LocalDay(ZSES3??7)=15 and LocalYear(ZSES3??7)=2024)</stp>
        <stp>Bar</stp>
        <stp/>
        <stp>Close</stp>
        <stp>D</stp>
        <stp>0</stp>
        <stp>ALL</stp>
        <stp/>
        <stp/>
        <stp>FALSE</stp>
        <stp>T</stp>
        <tr r="K22" s="8"/>
      </tp>
      <tp>
        <v>-14</v>
        <stp/>
        <stp>StudyData</stp>
        <stp>Close(ZSES2??7)when (LocalMonth(ZSES2??7)=10 and LocalDay(ZSES2??7)=15 and LocalYear(ZSES2??7)=2024)</stp>
        <stp>Bar</stp>
        <stp/>
        <stp>Close</stp>
        <stp>D</stp>
        <stp>0</stp>
        <stp>ALL</stp>
        <stp/>
        <stp/>
        <stp>FALSE</stp>
        <stp>T</stp>
        <tr r="K22" s="7"/>
      </tp>
      <tp>
        <v>-2.5</v>
        <stp/>
        <stp>StudyData</stp>
        <stp>Close(ZSES1??7)when (LocalMonth(ZSES1??7)=10 and LocalDay(ZSES1??7)=15 and LocalYear(ZSES1??7)=2024)</stp>
        <stp>Bar</stp>
        <stp/>
        <stp>Close</stp>
        <stp>D</stp>
        <stp>0</stp>
        <stp>ALL</stp>
        <stp/>
        <stp/>
        <stp>FALSE</stp>
        <stp>T</stp>
        <tr r="K22" s="6"/>
      </tp>
      <tp>
        <v>-26</v>
        <stp/>
        <stp>StudyData</stp>
        <stp>Close(ZSES6??7)when (LocalMonth(ZSES6??7)=10 and LocalDay(ZSES6??7)=15 and LocalYear(ZSES6??7)=2024)</stp>
        <stp>Bar</stp>
        <stp/>
        <stp>Close</stp>
        <stp>D</stp>
        <stp>0</stp>
        <stp>ALL</stp>
        <stp/>
        <stp/>
        <stp>FALSE</stp>
        <stp>T</stp>
        <tr r="K22" s="11"/>
      </tp>
      <tp>
        <v>-31.5</v>
        <stp/>
        <stp>StudyData</stp>
        <stp>Close(ZSES5??7)when (LocalMonth(ZSES5??7)=10 and LocalDay(ZSES5??7)=15 and LocalYear(ZSES5??7)=2024)</stp>
        <stp>Bar</stp>
        <stp/>
        <stp>Close</stp>
        <stp>D</stp>
        <stp>0</stp>
        <stp>ALL</stp>
        <stp/>
        <stp/>
        <stp>FALSE</stp>
        <stp>T</stp>
        <tr r="K22" s="10"/>
      </tp>
      <tp>
        <v>-23.75</v>
        <stp/>
        <stp>StudyData</stp>
        <stp>Close(ZSES4??7)when (LocalMonth(ZSES4??7)=10 and LocalDay(ZSES4??7)=15 and LocalYear(ZSES4??7)=2024)</stp>
        <stp>Bar</stp>
        <stp/>
        <stp>Close</stp>
        <stp>D</stp>
        <stp>0</stp>
        <stp>ALL</stp>
        <stp/>
        <stp/>
        <stp>FALSE</stp>
        <stp>T</stp>
        <tr r="K22" s="9"/>
      </tp>
      <tp>
        <v>5.75</v>
        <stp/>
        <stp>StudyData</stp>
        <stp>Close(ZSES2??6)when (LocalMonth(ZSES2??6)=10 and LocalDay(ZSES2??6)=15 and LocalYear(ZSES2??6)=2024)</stp>
        <stp>Bar</stp>
        <stp/>
        <stp>Close</stp>
        <stp>D</stp>
        <stp>0</stp>
        <stp>ALL</stp>
        <stp/>
        <stp/>
        <stp>FALSE</stp>
        <stp>T</stp>
        <tr r="K21" s="7"/>
      </tp>
      <tp>
        <v>-5.75</v>
        <stp/>
        <stp>StudyData</stp>
        <stp>Close(ZSES3??6)when (LocalMonth(ZSES3??6)=10 and LocalDay(ZSES3??6)=15 and LocalYear(ZSES3??6)=2024)</stp>
        <stp>Bar</stp>
        <stp/>
        <stp>Close</stp>
        <stp>D</stp>
        <stp>0</stp>
        <stp>ALL</stp>
        <stp/>
        <stp/>
        <stp>FALSE</stp>
        <stp>T</stp>
        <tr r="K21" s="8"/>
      </tp>
      <tp>
        <v>8.25</v>
        <stp/>
        <stp>StudyData</stp>
        <stp>Close(ZSES1??6)when (LocalMonth(ZSES1??6)=10 and LocalDay(ZSES1??6)=15 and LocalYear(ZSES1??6)=2024)</stp>
        <stp>Bar</stp>
        <stp/>
        <stp>Close</stp>
        <stp>D</stp>
        <stp>0</stp>
        <stp>ALL</stp>
        <stp/>
        <stp/>
        <stp>FALSE</stp>
        <stp>T</stp>
        <tr r="K21" s="6"/>
      </tp>
      <tp>
        <v>-23.25</v>
        <stp/>
        <stp>StudyData</stp>
        <stp>Close(ZSES6??6)when (LocalMonth(ZSES6??6)=10 and LocalDay(ZSES6??6)=15 and LocalYear(ZSES6??6)=2024)</stp>
        <stp>Bar</stp>
        <stp/>
        <stp>Close</stp>
        <stp>D</stp>
        <stp>0</stp>
        <stp>ALL</stp>
        <stp/>
        <stp/>
        <stp>FALSE</stp>
        <stp>T</stp>
        <tr r="K21" s="11"/>
      </tp>
      <tp>
        <v>-9.25</v>
        <stp/>
        <stp>StudyData</stp>
        <stp>Close(ZSES4??6)when (LocalMonth(ZSES4??6)=10 and LocalDay(ZSES4??6)=15 and LocalYear(ZSES4??6)=2024)</stp>
        <stp>Bar</stp>
        <stp/>
        <stp>Close</stp>
        <stp>D</stp>
        <stp>0</stp>
        <stp>ALL</stp>
        <stp/>
        <stp/>
        <stp>FALSE</stp>
        <stp>T</stp>
        <tr r="K21" s="9"/>
      </tp>
      <tp>
        <v>-15.5</v>
        <stp/>
        <stp>StudyData</stp>
        <stp>Close(ZSES5??6)when (LocalMonth(ZSES5??6)=10 and LocalDay(ZSES5??6)=15 and LocalYear(ZSES5??6)=2024)</stp>
        <stp>Bar</stp>
        <stp/>
        <stp>Close</stp>
        <stp>D</stp>
        <stp>0</stp>
        <stp>ALL</stp>
        <stp/>
        <stp/>
        <stp>FALSE</stp>
        <stp>T</stp>
        <tr r="K21" s="10"/>
      </tp>
      <tp>
        <v>-0.75</v>
        <stp/>
        <stp>StudyData</stp>
        <stp>Close(ZSES5??9)when (LocalMonth(ZSES5??9)=10 and LocalDay(ZSES5??9)=15 and LocalYear(ZSES5??9)=2024)</stp>
        <stp>Bar</stp>
        <stp/>
        <stp>Close</stp>
        <stp>D</stp>
        <stp>0</stp>
        <stp>ALL</stp>
        <stp/>
        <stp/>
        <stp>FALSE</stp>
        <stp>T</stp>
        <tr r="K24" s="10"/>
      </tp>
      <tp>
        <v>-12</v>
        <stp/>
        <stp>StudyData</stp>
        <stp>Close(ZSES4??9)when (LocalMonth(ZSES4??9)=10 and LocalDay(ZSES4??9)=15 and LocalYear(ZSES4??9)=2024)</stp>
        <stp>Bar</stp>
        <stp/>
        <stp>Close</stp>
        <stp>D</stp>
        <stp>0</stp>
        <stp>ALL</stp>
        <stp/>
        <stp/>
        <stp>FALSE</stp>
        <stp>T</stp>
        <tr r="K24" s="9"/>
      </tp>
      <tp>
        <v>-3.25</v>
        <stp/>
        <stp>StudyData</stp>
        <stp>Close(ZSES6??9)when (LocalMonth(ZSES6??9)=10 and LocalDay(ZSES6??9)=15 and LocalYear(ZSES6??9)=2024)</stp>
        <stp>Bar</stp>
        <stp/>
        <stp>Close</stp>
        <stp>D</stp>
        <stp>0</stp>
        <stp>ALL</stp>
        <stp/>
        <stp/>
        <stp>FALSE</stp>
        <stp>T</stp>
        <tr r="K24" s="11"/>
      </tp>
      <tp>
        <v>-3.5</v>
        <stp/>
        <stp>StudyData</stp>
        <stp>Close(ZSES1??9)when (LocalMonth(ZSES1??9)=10 and LocalDay(ZSES1??9)=15 and LocalYear(ZSES1??9)=2024)</stp>
        <stp>Bar</stp>
        <stp/>
        <stp>Close</stp>
        <stp>D</stp>
        <stp>0</stp>
        <stp>ALL</stp>
        <stp/>
        <stp/>
        <stp>FALSE</stp>
        <stp>T</stp>
        <tr r="K24" s="6"/>
      </tp>
      <tp>
        <v>-17.5</v>
        <stp/>
        <stp>StudyData</stp>
        <stp>Close(ZSES3??9)when (LocalMonth(ZSES3??9)=10 and LocalDay(ZSES3??9)=15 and LocalYear(ZSES3??9)=2024)</stp>
        <stp>Bar</stp>
        <stp/>
        <stp>Close</stp>
        <stp>D</stp>
        <stp>0</stp>
        <stp>ALL</stp>
        <stp/>
        <stp/>
        <stp>FALSE</stp>
        <stp>T</stp>
        <tr r="K24" s="8"/>
      </tp>
      <tp>
        <v>-9.75</v>
        <stp/>
        <stp>StudyData</stp>
        <stp>Close(ZSES2??9)when (LocalMonth(ZSES2??9)=10 and LocalDay(ZSES2??9)=15 and LocalYear(ZSES2??9)=2024)</stp>
        <stp>Bar</stp>
        <stp/>
        <stp>Close</stp>
        <stp>D</stp>
        <stp>0</stp>
        <stp>ALL</stp>
        <stp/>
        <stp/>
        <stp>FALSE</stp>
        <stp>T</stp>
        <tr r="K24" s="7"/>
      </tp>
      <tp>
        <v>-29</v>
        <stp/>
        <stp>StudyData</stp>
        <stp>Close(ZSES4??8)when (LocalMonth(ZSES4??8)=10 and LocalDay(ZSES4??8)=15 and LocalYear(ZSES4??8)=2024)</stp>
        <stp>Bar</stp>
        <stp/>
        <stp>Close</stp>
        <stp>D</stp>
        <stp>0</stp>
        <stp>ALL</stp>
        <stp/>
        <stp/>
        <stp>FALSE</stp>
        <stp>T</stp>
        <tr r="K23" s="9"/>
      </tp>
      <tp>
        <v>-23.5</v>
        <stp/>
        <stp>StudyData</stp>
        <stp>Close(ZSES5??8)when (LocalMonth(ZSES5??8)=10 and LocalDay(ZSES5??8)=15 and LocalYear(ZSES5??8)=2024)</stp>
        <stp>Bar</stp>
        <stp/>
        <stp>Close</stp>
        <stp>D</stp>
        <stp>0</stp>
        <stp>ALL</stp>
        <stp/>
        <stp/>
        <stp>FALSE</stp>
        <stp>T</stp>
        <tr r="K23" s="10"/>
      </tp>
      <tp>
        <v>-12.25</v>
        <stp/>
        <stp>StudyData</stp>
        <stp>Close(ZSES6??8)when (LocalMonth(ZSES6??8)=10 and LocalDay(ZSES6??8)=15 and LocalYear(ZSES6??8)=2024)</stp>
        <stp>Bar</stp>
        <stp/>
        <stp>Close</stp>
        <stp>D</stp>
        <stp>0</stp>
        <stp>ALL</stp>
        <stp/>
        <stp/>
        <stp>FALSE</stp>
        <stp>T</stp>
        <tr r="K23" s="11"/>
      </tp>
      <tp>
        <v>-11.5</v>
        <stp/>
        <stp>StudyData</stp>
        <stp>Close(ZSES1??8)when (LocalMonth(ZSES1??8)=10 and LocalDay(ZSES1??8)=15 and LocalYear(ZSES1??8)=2024)</stp>
        <stp>Bar</stp>
        <stp/>
        <stp>Close</stp>
        <stp>D</stp>
        <stp>0</stp>
        <stp>ALL</stp>
        <stp/>
        <stp/>
        <stp>FALSE</stp>
        <stp>T</stp>
        <tr r="K23" s="6"/>
      </tp>
      <tp>
        <v>-15</v>
        <stp/>
        <stp>StudyData</stp>
        <stp>Close(ZSES2??8)when (LocalMonth(ZSES2??8)=10 and LocalDay(ZSES2??8)=15 and LocalYear(ZSES2??8)=2024)</stp>
        <stp>Bar</stp>
        <stp/>
        <stp>Close</stp>
        <stp>D</stp>
        <stp>0</stp>
        <stp>ALL</stp>
        <stp/>
        <stp/>
        <stp>FALSE</stp>
        <stp>T</stp>
        <tr r="K23" s="7"/>
      </tp>
      <tp>
        <v>-21.25</v>
        <stp/>
        <stp>StudyData</stp>
        <stp>Close(ZSES3??8)when (LocalMonth(ZSES3??8)=10 and LocalDay(ZSES3??8)=15 and LocalYear(ZSES3??8)=2024)</stp>
        <stp>Bar</stp>
        <stp/>
        <stp>Close</stp>
        <stp>D</stp>
        <stp>0</stp>
        <stp>ALL</stp>
        <stp/>
        <stp/>
        <stp>FALSE</stp>
        <stp>T</stp>
        <tr r="K23" s="8"/>
      </tp>
      <tp>
        <v>-9</v>
        <stp/>
        <stp>ContractData</stp>
        <stp>F.ZSE?7</stp>
        <stp>NetLastQuoteToday</stp>
        <stp/>
        <stp>T</stp>
        <tr r="U8" s="7"/>
        <tr r="U8" s="11"/>
        <tr r="U8" s="6"/>
        <tr r="U8" s="10"/>
        <tr r="U8" s="8"/>
        <tr r="U8" s="9"/>
      </tp>
      <tp>
        <v>-7.25</v>
        <stp/>
        <stp>ContractData</stp>
        <stp>F.ZSE?6</stp>
        <stp>NetLastQuoteToday</stp>
        <stp/>
        <stp>T</stp>
        <tr r="U7" s="6"/>
        <tr r="U7" s="7"/>
        <tr r="U7" s="8"/>
        <tr r="U7" s="11"/>
        <tr r="U7" s="10"/>
        <tr r="U7" s="9"/>
      </tp>
      <tp>
        <v>-5.5</v>
        <stp/>
        <stp>ContractData</stp>
        <stp>F.ZSE?5</stp>
        <stp>NetLastQuoteToday</stp>
        <stp/>
        <stp>T</stp>
        <tr r="U6" s="10"/>
        <tr r="U6" s="7"/>
        <tr r="U6" s="6"/>
        <tr r="U6" s="11"/>
        <tr r="U6" s="8"/>
        <tr r="U6" s="9"/>
      </tp>
      <tp>
        <v>-5</v>
        <stp/>
        <stp>ContractData</stp>
        <stp>F.ZSE?4</stp>
        <stp>NetLastQuoteToday</stp>
        <stp/>
        <stp>T</stp>
        <tr r="U5" s="6"/>
        <tr r="U5" s="7"/>
        <tr r="U5" s="11"/>
        <tr r="U5" s="9"/>
        <tr r="U5" s="8"/>
        <tr r="U5" s="10"/>
      </tp>
      <tp>
        <v>-4.5</v>
        <stp/>
        <stp>ContractData</stp>
        <stp>F.ZSE?3</stp>
        <stp>NetLastQuoteToday</stp>
        <stp/>
        <stp>T</stp>
        <tr r="U4" s="9"/>
        <tr r="U4" s="7"/>
        <tr r="U4" s="6"/>
        <tr r="U4" s="11"/>
        <tr r="U4" s="8"/>
        <tr r="U4" s="10"/>
      </tp>
      <tp>
        <v>-3</v>
        <stp/>
        <stp>ContractData</stp>
        <stp>F.ZSE?2</stp>
        <stp>NetLastQuoteToday</stp>
        <stp/>
        <stp>T</stp>
        <tr r="U3" s="10"/>
        <tr r="U3" s="7"/>
        <tr r="U3" s="11"/>
        <tr r="U3" s="9"/>
        <tr r="U3" s="8"/>
        <tr r="U3" s="6"/>
      </tp>
      <tp>
        <v>-0.75</v>
        <stp/>
        <stp>ContractData</stp>
        <stp>F.ZSE?1</stp>
        <stp>NetLastQuoteToday</stp>
        <stp/>
        <stp>T</stp>
        <tr r="U2" s="7"/>
        <tr r="U2" s="10"/>
        <tr r="U2" s="6"/>
        <tr r="U2" s="9"/>
        <tr r="U2" s="8"/>
        <tr r="U2" s="11"/>
      </tp>
      <tp>
        <v>-9.25</v>
        <stp/>
        <stp>ContractData</stp>
        <stp>F.ZSE?9</stp>
        <stp>NetLastQuoteToday</stp>
        <stp/>
        <stp>T</stp>
        <tr r="U10" s="7"/>
        <tr r="U10" s="10"/>
        <tr r="U10" s="11"/>
        <tr r="U10" s="9"/>
        <tr r="U10" s="8"/>
        <tr r="U10" s="6"/>
      </tp>
      <tp>
        <v>-9.25</v>
        <stp/>
        <stp>ContractData</stp>
        <stp>F.ZSE?8</stp>
        <stp>NetLastQuoteToday</stp>
        <stp/>
        <stp>T</stp>
        <tr r="U9" s="9"/>
        <tr r="U9" s="8"/>
        <tr r="U9" s="7"/>
        <tr r="U9" s="11"/>
        <tr r="U9" s="10"/>
        <tr r="U9" s="6"/>
      </tp>
      <tp>
        <v>83</v>
        <stp/>
        <stp>ContractData</stp>
        <stp>ZSES1X24</stp>
        <stp>T_CVol</stp>
        <tr r="I29" s="2"/>
      </tp>
      <tp>
        <v>318</v>
        <stp/>
        <stp>ContractData</stp>
        <stp>ZSES1X25</stp>
        <stp>T_CVol</stp>
        <tr r="I36" s="2"/>
      </tp>
      <tp>
        <v>260</v>
        <stp/>
        <stp>ContractData</stp>
        <stp>ZSES1Q25</stp>
        <stp>T_CVol</stp>
        <tr r="I34" s="2"/>
      </tp>
      <tp>
        <v>356</v>
        <stp/>
        <stp>ContractData</stp>
        <stp>ZSES1U25</stp>
        <stp>T_CVol</stp>
        <tr r="I35" s="2"/>
      </tp>
      <tp>
        <v>3035</v>
        <stp/>
        <stp>ContractData</stp>
        <stp>ZSES1H25</stp>
        <stp>T_CVol</stp>
        <tr r="I31" s="2"/>
      </tp>
      <tp>
        <v>119</v>
        <stp/>
        <stp>ContractData</stp>
        <stp>ZSES1H26</stp>
        <stp>T_CVol</stp>
        <tr r="I38" s="2"/>
      </tp>
      <tp>
        <v>1041.25</v>
        <stp/>
        <stp>StudyData</stp>
        <stp>Close(ZSE?5)when (LocalMonth(ZSE?5)=10 and LocalDay(ZSE?5)=15 and LocalYear(ZSEN25)=2024)</stp>
        <stp>Bar</stp>
        <stp/>
        <stp>Close</stp>
        <stp>D</stp>
        <stp>0</stp>
        <stp>ALL</stp>
        <stp/>
        <stp/>
        <stp>FALSE</stp>
        <stp>T</stp>
        <tr r="E20" s="6"/>
        <tr r="E20" s="6"/>
        <tr r="E20" s="10"/>
        <tr r="E20" s="8"/>
        <tr r="E20" s="11"/>
        <tr r="E20" s="9"/>
        <tr r="E20" s="7"/>
      </tp>
      <tp>
        <v>2055</v>
        <stp/>
        <stp>ContractData</stp>
        <stp>ZSES1K25</stp>
        <stp>T_CVol</stp>
        <tr r="I32" s="2"/>
      </tp>
      <tp>
        <v>123</v>
        <stp/>
        <stp>ContractData</stp>
        <stp>ZSES1K26</stp>
        <stp>T_CVol</stp>
        <tr r="I39" s="2"/>
      </tp>
      <tp>
        <v>419</v>
        <stp/>
        <stp>ContractData</stp>
        <stp>ZSES1N25</stp>
        <stp>T_CVol</stp>
        <tr r="I33" s="2"/>
      </tp>
      <tp>
        <v>0</v>
        <stp/>
        <stp>ContractData</stp>
        <stp>ZSES1N26</stp>
        <stp>T_CVol</stp>
        <tr r="I40" s="2"/>
      </tp>
      <tp>
        <v>9573</v>
        <stp/>
        <stp>ContractData</stp>
        <stp>ZSES1F25</stp>
        <stp>T_CVol</stp>
        <tr r="I30" s="2"/>
      </tp>
      <tp>
        <v>206</v>
        <stp/>
        <stp>ContractData</stp>
        <stp>ZSES1F26</stp>
        <stp>T_CVol</stp>
        <tr r="I37" s="2"/>
      </tp>
      <tp t="s">
        <v>ZSES1N26</v>
        <stp/>
        <stp>ContractData</stp>
        <stp>ZSES1??12</stp>
        <stp>Symbol</stp>
        <tr r="A40" s="2"/>
        <tr r="A40" s="2"/>
      </tp>
      <tp t="s">
        <v>ZSES2K26</v>
        <stp/>
        <stp>ContractData</stp>
        <stp>ZSES2??11</stp>
        <stp>Symbol</stp>
        <tr r="A55" s="2"/>
        <tr r="A55" s="2"/>
      </tp>
      <tp t="s">
        <v>ZSES3H26</v>
        <stp/>
        <stp>ContractData</stp>
        <stp>ZSES3??10</stp>
        <stp>Symbol</stp>
        <tr r="A70" s="2"/>
        <tr r="A70" s="2"/>
      </tp>
      <tp t="s">
        <v>ZSES2H26</v>
        <stp/>
        <stp>ContractData</stp>
        <stp>ZSES2??10</stp>
        <stp>Symbol</stp>
        <tr r="A54" s="2"/>
        <tr r="A54" s="2"/>
      </tp>
      <tp t="s">
        <v>ZSES3K26</v>
        <stp/>
        <stp>ContractData</stp>
        <stp>ZSES3??11</stp>
        <stp>Symbol</stp>
        <tr r="A71" s="2"/>
        <tr r="A71" s="2"/>
      </tp>
      <tp t="s">
        <v>ZSES1H26</v>
        <stp/>
        <stp>ContractData</stp>
        <stp>ZSES1??10</stp>
        <stp>Symbol</stp>
        <tr r="A38" s="2"/>
        <tr r="A38" s="2"/>
      </tp>
      <tp t="s">
        <v>ZSES3N26</v>
        <stp/>
        <stp>ContractData</stp>
        <stp>ZSES3??12</stp>
        <stp>Symbol</stp>
        <tr r="A72" s="2"/>
        <tr r="A72" s="2"/>
      </tp>
      <tp t="s">
        <v>ZSES1K26</v>
        <stp/>
        <stp>ContractData</stp>
        <stp>ZSES1??11</stp>
        <stp>Symbol</stp>
        <tr r="A39" s="2"/>
        <tr r="A39" s="2"/>
      </tp>
      <tp t="s">
        <v>ZSES2N26</v>
        <stp/>
        <stp>ContractData</stp>
        <stp>ZSES2??12</stp>
        <stp>Symbol</stp>
        <tr r="A56" s="2"/>
        <tr r="A56" s="2"/>
      </tp>
      <tp t="s">
        <v>ZSES5N26</v>
        <stp/>
        <stp>ContractData</stp>
        <stp>ZSES5??12</stp>
        <stp>Symbol</stp>
        <tr r="A104" s="2"/>
        <tr r="A104" s="2"/>
      </tp>
      <tp t="s">
        <v>ZSES6K26</v>
        <stp/>
        <stp>ContractData</stp>
        <stp>ZSES6??11</stp>
        <stp>Symbol</stp>
        <tr r="A119" s="2"/>
        <tr r="A119" s="2"/>
      </tp>
      <tp t="s">
        <v>ZSES4N26</v>
        <stp/>
        <stp>ContractData</stp>
        <stp>ZSES4??12</stp>
        <stp>Symbol</stp>
        <tr r="A88" s="2"/>
        <tr r="A88" s="2"/>
      </tp>
      <tp t="s">
        <v>ZSES6H26</v>
        <stp/>
        <stp>ContractData</stp>
        <stp>ZSES6??10</stp>
        <stp>Symbol</stp>
        <tr r="A118" s="2"/>
        <tr r="A118" s="2"/>
      </tp>
      <tp t="s">
        <v>ZSES4K26</v>
        <stp/>
        <stp>ContractData</stp>
        <stp>ZSES4??11</stp>
        <stp>Symbol</stp>
        <tr r="A87" s="2"/>
        <tr r="A87" s="2"/>
      </tp>
      <tp t="s">
        <v>ZSES5H26</v>
        <stp/>
        <stp>ContractData</stp>
        <stp>ZSES5??10</stp>
        <stp>Symbol</stp>
        <tr r="A102" s="2"/>
        <tr r="A102" s="2"/>
      </tp>
      <tp t="s">
        <v>ZSES4H26</v>
        <stp/>
        <stp>ContractData</stp>
        <stp>ZSES4??10</stp>
        <stp>Symbol</stp>
        <tr r="A86" s="2"/>
        <tr r="A86" s="2"/>
      </tp>
      <tp t="s">
        <v>ZSES5K26</v>
        <stp/>
        <stp>ContractData</stp>
        <stp>ZSES5??11</stp>
        <stp>Symbol</stp>
        <tr r="A103" s="2"/>
        <tr r="A103" s="2"/>
      </tp>
      <tp t="s">
        <v>ZSES6N26</v>
        <stp/>
        <stp>ContractData</stp>
        <stp>ZSES6??12</stp>
        <stp>Symbol</stp>
        <tr r="A120" s="2"/>
        <tr r="A120" s="2"/>
      </tp>
      <tp t="s">
        <v>ZSES1N26</v>
        <stp/>
        <stp>ContractData</stp>
        <stp>ZSES1??12</stp>
        <stp>Symbol</stp>
        <stp/>
        <stp>T</stp>
        <tr r="M27" s="6"/>
      </tp>
      <tp t="s">
        <v>ZSES2K26</v>
        <stp/>
        <stp>ContractData</stp>
        <stp>ZSES2??11</stp>
        <stp>Symbol</stp>
        <stp/>
        <stp>T</stp>
        <tr r="M26" s="7"/>
      </tp>
      <tp t="s">
        <v>ZSES3H26</v>
        <stp/>
        <stp>ContractData</stp>
        <stp>ZSES3??10</stp>
        <stp>Symbol</stp>
        <stp/>
        <stp>T</stp>
        <tr r="M25" s="8"/>
      </tp>
      <tp t="s">
        <v>ZSES2H26</v>
        <stp/>
        <stp>ContractData</stp>
        <stp>ZSES2??10</stp>
        <stp>Symbol</stp>
        <stp/>
        <stp>T</stp>
        <tr r="M25" s="7"/>
      </tp>
      <tp t="s">
        <v>ZSES3K26</v>
        <stp/>
        <stp>ContractData</stp>
        <stp>ZSES3??11</stp>
        <stp>Symbol</stp>
        <stp/>
        <stp>T</stp>
        <tr r="M26" s="8"/>
      </tp>
      <tp t="s">
        <v/>
        <stp/>
        <stp>ContractData</stp>
        <stp>ZSES3Q5</stp>
        <stp>LastTradeorSettle</stp>
        <stp/>
        <stp>T</stp>
        <tr r="W7" s="8"/>
      </tp>
      <tp>
        <v>17.75</v>
        <stp/>
        <stp>ContractData</stp>
        <stp>ZSES2Q5</stp>
        <stp>LastTradeorSettle</stp>
        <stp/>
        <stp>T</stp>
        <tr r="W7" s="7"/>
      </tp>
      <tp>
        <v>15</v>
        <stp/>
        <stp>ContractData</stp>
        <stp>ZSES1Q5</stp>
        <stp>LastTradeorSettle</stp>
        <stp/>
        <stp>T</stp>
        <tr r="W7" s="6"/>
        <tr r="W7" s="6"/>
      </tp>
      <tp t="s">
        <v/>
        <stp/>
        <stp>ContractData</stp>
        <stp>ZSES6Q5</stp>
        <stp>LastTradeorSettle</stp>
        <stp/>
        <stp>T</stp>
        <tr r="W7" s="11"/>
      </tp>
      <tp t="s">
        <v/>
        <stp/>
        <stp>ContractData</stp>
        <stp>ZSES5Q5</stp>
        <stp>LastTradeorSettle</stp>
        <stp/>
        <stp>T</stp>
        <tr r="W7" s="10"/>
      </tp>
      <tp t="s">
        <v/>
        <stp/>
        <stp>ContractData</stp>
        <stp>ZSES4Q5</stp>
        <stp>LastTradeorSettle</stp>
        <stp/>
        <stp>T</stp>
        <tr r="W7" s="9"/>
      </tp>
      <tp t="s">
        <v>ZSES1H26</v>
        <stp/>
        <stp>ContractData</stp>
        <stp>ZSES1??10</stp>
        <stp>Symbol</stp>
        <stp/>
        <stp>T</stp>
        <tr r="M25" s="6"/>
      </tp>
      <tp t="s">
        <v>ZSES3N26</v>
        <stp/>
        <stp>ContractData</stp>
        <stp>ZSES3??12</stp>
        <stp>Symbol</stp>
        <stp/>
        <stp>T</stp>
        <tr r="M27" s="8"/>
      </tp>
      <tp t="s">
        <v>Soybean Calendar Spread 4, (1*ZSEX24-1*ZSEN25)</v>
        <stp/>
        <stp>ContractData</stp>
        <stp>ZSES4X4</stp>
        <stp>LongDescription</stp>
        <stp/>
        <stp>T</stp>
        <tr r="AI2" s="9"/>
        <tr r="AI2" s="9"/>
        <tr r="AI2" s="9"/>
        <tr r="AI2" s="9"/>
        <tr r="AI2" s="9"/>
      </tp>
      <tp t="s">
        <v>Soybean Calendar Spread 4, (1*ZSEX25-1*ZSEN26)</v>
        <stp/>
        <stp>ContractData</stp>
        <stp>ZSES4X5</stp>
        <stp>LongDescription</stp>
        <stp/>
        <stp>T</stp>
        <tr r="AI9" s="9"/>
        <tr r="AI9" s="9"/>
        <tr r="AI9" s="9"/>
        <tr r="AI9" s="9"/>
        <tr r="AI9" s="9"/>
      </tp>
      <tp t="s">
        <v>Soybean Calendar Spread 4, (1*ZSEQ25-1*ZSEH26)</v>
        <stp/>
        <stp>ContractData</stp>
        <stp>ZSES4Q5</stp>
        <stp>LongDescription</stp>
        <stp/>
        <stp>T</stp>
        <tr r="AI7" s="9"/>
        <tr r="AI7" s="9"/>
        <tr r="AI7" s="9"/>
        <tr r="AI7" s="9"/>
        <tr r="AI7" s="9"/>
      </tp>
      <tp t="s">
        <v>Soybean Calendar Spread 4, (1*ZSEU25-1*ZSEK26)</v>
        <stp/>
        <stp>ContractData</stp>
        <stp>ZSES4U5</stp>
        <stp>LongDescription</stp>
        <stp/>
        <stp>T</stp>
        <tr r="AI8" s="9"/>
        <tr r="AI8" s="9"/>
        <tr r="AI8" s="9"/>
        <tr r="AI8" s="9"/>
        <tr r="AI8" s="9"/>
      </tp>
      <tp t="s">
        <v>Soybean Calendar Spread 4, (1*ZSEK26-1*ZSEX26)</v>
        <stp/>
        <stp>ContractData</stp>
        <stp>ZSES4K6</stp>
        <stp>LongDescription</stp>
        <stp/>
        <stp>T</stp>
        <tr r="AI12" s="9"/>
        <tr r="AI12" s="9"/>
        <tr r="AI12" s="9"/>
        <tr r="AI12" s="9"/>
        <tr r="AI12" s="9"/>
      </tp>
      <tp t="s">
        <v>Soybean Calendar Spread 4, (1*ZSEK25-1*ZSEX25)</v>
        <stp/>
        <stp>ContractData</stp>
        <stp>ZSES4K5</stp>
        <stp>LongDescription</stp>
        <stp/>
        <stp>T</stp>
        <tr r="AI5" s="9"/>
        <tr r="AI5" s="9"/>
        <tr r="AI5" s="9"/>
        <tr r="AI5" s="9"/>
        <tr r="AI5" s="9"/>
      </tp>
      <tp t="s">
        <v>Soybean Calendar Spread 4, (1*ZSEH26-1*ZSEU26)</v>
        <stp/>
        <stp>ContractData</stp>
        <stp>ZSES4H6</stp>
        <stp>LongDescription</stp>
        <stp/>
        <stp>T</stp>
        <tr r="AI11" s="9"/>
        <tr r="AI11" s="9"/>
        <tr r="AI11" s="9"/>
        <tr r="AI11" s="9"/>
        <tr r="AI11" s="9"/>
      </tp>
      <tp t="s">
        <v>Soybean Calendar Spread 4, (1*ZSEH25-1*ZSEU25)</v>
        <stp/>
        <stp>ContractData</stp>
        <stp>ZSES4H5</stp>
        <stp>LongDescription</stp>
        <stp/>
        <stp>T</stp>
        <tr r="AI4" s="9"/>
        <tr r="AI4" s="9"/>
        <tr r="AI4" s="9"/>
        <tr r="AI4" s="9"/>
        <tr r="AI4" s="9"/>
      </tp>
      <tp t="s">
        <v>Soybean Calendar Spread 4, (1*ZSEN26-1*ZSEF27)</v>
        <stp/>
        <stp>ContractData</stp>
        <stp>ZSES4N6</stp>
        <stp>LongDescription</stp>
        <stp/>
        <stp>T</stp>
        <tr r="AI13" s="9"/>
        <tr r="AI13" s="9"/>
        <tr r="AI13" s="9"/>
        <tr r="AI13" s="9"/>
        <tr r="AI13" s="9"/>
      </tp>
      <tp t="s">
        <v>Soybean Calendar Spread 4, (1*ZSEN25-1*ZSEF26)</v>
        <stp/>
        <stp>ContractData</stp>
        <stp>ZSES4N5</stp>
        <stp>LongDescription</stp>
        <stp/>
        <stp>T</stp>
        <tr r="AI6" s="9"/>
        <tr r="AI6" s="9"/>
        <tr r="AI6" s="9"/>
        <tr r="AI6" s="9"/>
        <tr r="AI6" s="9"/>
      </tp>
      <tp t="s">
        <v>Soybean Calendar Spread 4, (1*ZSEF26-1*ZSEQ26)</v>
        <stp/>
        <stp>ContractData</stp>
        <stp>ZSES4F6</stp>
        <stp>LongDescription</stp>
        <stp/>
        <stp>T</stp>
        <tr r="AI10" s="9"/>
        <tr r="AI10" s="9"/>
        <tr r="AI10" s="9"/>
        <tr r="AI10" s="9"/>
        <tr r="AI10" s="9"/>
      </tp>
      <tp t="s">
        <v>Soybean Calendar Spread 4, (1*ZSEF25-1*ZSEQ25)</v>
        <stp/>
        <stp>ContractData</stp>
        <stp>ZSES4F5</stp>
        <stp>LongDescription</stp>
        <stp/>
        <stp>T</stp>
        <tr r="AI3" s="9"/>
        <tr r="AI3" s="9"/>
        <tr r="AI3" s="9"/>
        <tr r="AI3" s="9"/>
        <tr r="AI3" s="9"/>
      </tp>
      <tp t="s">
        <v>Soybean Calendar Spread 5, (1*ZSEX24-1*ZSEQ25)</v>
        <stp/>
        <stp>ContractData</stp>
        <stp>ZSES5X4</stp>
        <stp>LongDescription</stp>
        <stp/>
        <stp>T</stp>
        <tr r="AI2" s="10"/>
        <tr r="AI2" s="10"/>
        <tr r="AI2" s="10"/>
        <tr r="AI2" s="10"/>
        <tr r="AI2" s="10"/>
      </tp>
      <tp t="s">
        <v>Soybean Calendar Spread 5, (1*ZSEX25-1*ZSEQ26)</v>
        <stp/>
        <stp>ContractData</stp>
        <stp>ZSES5X5</stp>
        <stp>LongDescription</stp>
        <stp/>
        <stp>T</stp>
        <tr r="AI9" s="10"/>
        <tr r="AI9" s="10"/>
        <tr r="AI9" s="10"/>
        <tr r="AI9" s="10"/>
        <tr r="AI9" s="10"/>
      </tp>
      <tp t="s">
        <v>Soybean Calendar Spread 5, (1*ZSEQ25-1*ZSEK26)</v>
        <stp/>
        <stp>ContractData</stp>
        <stp>ZSES5Q5</stp>
        <stp>LongDescription</stp>
        <stp/>
        <stp>T</stp>
        <tr r="AI7" s="10"/>
        <tr r="AI7" s="10"/>
        <tr r="AI7" s="10"/>
        <tr r="AI7" s="10"/>
        <tr r="AI7" s="10"/>
      </tp>
      <tp t="s">
        <v>Soybean Calendar Spread 5, (1*ZSEU25-1*ZSEN26)</v>
        <stp/>
        <stp>ContractData</stp>
        <stp>ZSES5U5</stp>
        <stp>LongDescription</stp>
        <stp/>
        <stp>T</stp>
        <tr r="AI8" s="10"/>
        <tr r="AI8" s="10"/>
        <tr r="AI8" s="10"/>
        <tr r="AI8" s="10"/>
        <tr r="AI8" s="10"/>
      </tp>
      <tp t="s">
        <v>Soybean Calendar Spread 5, (1*ZSEK26-1*ZSEF27)</v>
        <stp/>
        <stp>ContractData</stp>
        <stp>ZSES5K6</stp>
        <stp>LongDescription</stp>
        <stp/>
        <stp>T</stp>
        <tr r="AI12" s="10"/>
        <tr r="AI12" s="10"/>
        <tr r="AI12" s="10"/>
        <tr r="AI12" s="10"/>
        <tr r="AI12" s="10"/>
      </tp>
      <tp t="s">
        <v>Soybean Calendar Spread 5, (1*ZSEK25-1*ZSEF26)</v>
        <stp/>
        <stp>ContractData</stp>
        <stp>ZSES5K5</stp>
        <stp>LongDescription</stp>
        <stp/>
        <stp>T</stp>
        <tr r="AI5" s="10"/>
        <tr r="AI5" s="10"/>
        <tr r="AI5" s="10"/>
        <tr r="AI5" s="10"/>
        <tr r="AI5" s="10"/>
      </tp>
      <tp t="s">
        <v>Soybean Calendar Spread 5, (1*ZSEH26-1*ZSEX26)</v>
        <stp/>
        <stp>ContractData</stp>
        <stp>ZSES5H6</stp>
        <stp>LongDescription</stp>
        <stp/>
        <stp>T</stp>
        <tr r="AI11" s="10"/>
        <tr r="AI11" s="10"/>
        <tr r="AI11" s="10"/>
        <tr r="AI11" s="10"/>
        <tr r="AI11" s="10"/>
      </tp>
      <tp t="s">
        <v>Soybean Calendar Spread 5, (1*ZSEH25-1*ZSEX25)</v>
        <stp/>
        <stp>ContractData</stp>
        <stp>ZSES5H5</stp>
        <stp>LongDescription</stp>
        <stp/>
        <stp>T</stp>
        <tr r="AI4" s="10"/>
        <tr r="AI4" s="10"/>
        <tr r="AI4" s="10"/>
        <tr r="AI4" s="10"/>
        <tr r="AI4" s="10"/>
      </tp>
      <tp t="s">
        <v>Soybean Calendar Spread 5, (1*ZSEN26-1*ZSEH27)</v>
        <stp/>
        <stp>ContractData</stp>
        <stp>ZSES5N6</stp>
        <stp>LongDescription</stp>
        <stp/>
        <stp>T</stp>
        <tr r="AI13" s="10"/>
        <tr r="AI13" s="10"/>
        <tr r="AI13" s="10"/>
        <tr r="AI13" s="10"/>
        <tr r="AI13" s="10"/>
      </tp>
      <tp t="s">
        <v>Soybean Calendar Spread 5, (1*ZSEN25-1*ZSEH26)</v>
        <stp/>
        <stp>ContractData</stp>
        <stp>ZSES5N5</stp>
        <stp>LongDescription</stp>
        <stp/>
        <stp>T</stp>
        <tr r="AI6" s="10"/>
        <tr r="AI6" s="10"/>
        <tr r="AI6" s="10"/>
        <tr r="AI6" s="10"/>
        <tr r="AI6" s="10"/>
      </tp>
      <tp t="s">
        <v>Soybean Calendar Spread 5, (1*ZSEF26-1*ZSEU26)</v>
        <stp/>
        <stp>ContractData</stp>
        <stp>ZSES5F6</stp>
        <stp>LongDescription</stp>
        <stp/>
        <stp>T</stp>
        <tr r="AI10" s="10"/>
        <tr r="AI10" s="10"/>
        <tr r="AI10" s="10"/>
        <tr r="AI10" s="10"/>
        <tr r="AI10" s="10"/>
      </tp>
      <tp t="s">
        <v>Soybean Calendar Spread 5, (1*ZSEF25-1*ZSEU25)</v>
        <stp/>
        <stp>ContractData</stp>
        <stp>ZSES5F5</stp>
        <stp>LongDescription</stp>
        <stp/>
        <stp>T</stp>
        <tr r="AI3" s="10"/>
        <tr r="AI3" s="10"/>
        <tr r="AI3" s="10"/>
        <tr r="AI3" s="10"/>
        <tr r="AI3" s="10"/>
      </tp>
      <tp t="s">
        <v>Soybean Calendar Spread 6, (1*ZSEX24-1*ZSEU25)</v>
        <stp/>
        <stp>ContractData</stp>
        <stp>ZSES6X4</stp>
        <stp>LongDescription</stp>
        <stp/>
        <stp>T</stp>
        <tr r="AI2" s="11"/>
        <tr r="AI2" s="11"/>
        <tr r="AI2" s="11"/>
        <tr r="AI2" s="11"/>
        <tr r="AI2" s="11"/>
      </tp>
      <tp t="s">
        <v>Soybean Calendar Spread 6, (1*ZSEX25-1*ZSEU26)</v>
        <stp/>
        <stp>ContractData</stp>
        <stp>ZSES6X5</stp>
        <stp>LongDescription</stp>
        <stp/>
        <stp>T</stp>
        <tr r="AI9" s="11"/>
        <tr r="AI9" s="11"/>
        <tr r="AI9" s="11"/>
        <tr r="AI9" s="11"/>
        <tr r="AI9" s="11"/>
      </tp>
      <tp t="s">
        <v>Soybean Calendar Spread 6, (1*ZSEQ25-1*ZSEN26)</v>
        <stp/>
        <stp>ContractData</stp>
        <stp>ZSES6Q5</stp>
        <stp>LongDescription</stp>
        <stp/>
        <stp>T</stp>
        <tr r="AI7" s="11"/>
        <tr r="AI7" s="11"/>
        <tr r="AI7" s="11"/>
        <tr r="AI7" s="11"/>
        <tr r="AI7" s="11"/>
      </tp>
      <tp t="s">
        <v>Soybean Calendar Spread 6, (1*ZSEU25-1*ZSEQ26)</v>
        <stp/>
        <stp>ContractData</stp>
        <stp>ZSES6U5</stp>
        <stp>LongDescription</stp>
        <stp/>
        <stp>T</stp>
        <tr r="AI8" s="11"/>
        <tr r="AI8" s="11"/>
        <tr r="AI8" s="11"/>
        <tr r="AI8" s="11"/>
        <tr r="AI8" s="11"/>
      </tp>
      <tp t="s">
        <v>Soybean Calendar Spread 6, (1*ZSEK26-1*ZSEH27)</v>
        <stp/>
        <stp>ContractData</stp>
        <stp>ZSES6K6</stp>
        <stp>LongDescription</stp>
        <stp/>
        <stp>T</stp>
        <tr r="AI12" s="11"/>
        <tr r="AI12" s="11"/>
        <tr r="AI12" s="11"/>
        <tr r="AI12" s="11"/>
        <tr r="AI12" s="11"/>
      </tp>
      <tp t="s">
        <v>Soybean Calendar Spread 6, (1*ZSEK25-1*ZSEH26)</v>
        <stp/>
        <stp>ContractData</stp>
        <stp>ZSES6K5</stp>
        <stp>LongDescription</stp>
        <stp/>
        <stp>T</stp>
        <tr r="AI5" s="11"/>
        <tr r="AI5" s="11"/>
        <tr r="AI5" s="11"/>
        <tr r="AI5" s="11"/>
        <tr r="AI5" s="11"/>
      </tp>
      <tp t="s">
        <v>Soybean Calendar Spread 6, (1*ZSEH26-1*ZSEF27)</v>
        <stp/>
        <stp>ContractData</stp>
        <stp>ZSES6H6</stp>
        <stp>LongDescription</stp>
        <stp/>
        <stp>T</stp>
        <tr r="AI11" s="11"/>
        <tr r="AI11" s="11"/>
        <tr r="AI11" s="11"/>
        <tr r="AI11" s="11"/>
        <tr r="AI11" s="11"/>
      </tp>
      <tp t="s">
        <v>Soybean Calendar Spread 6, (1*ZSEH25-1*ZSEF26)</v>
        <stp/>
        <stp>ContractData</stp>
        <stp>ZSES6H5</stp>
        <stp>LongDescription</stp>
        <stp/>
        <stp>T</stp>
        <tr r="AI4" s="11"/>
        <tr r="AI4" s="11"/>
        <tr r="AI4" s="11"/>
        <tr r="AI4" s="11"/>
        <tr r="AI4" s="11"/>
      </tp>
      <tp t="s">
        <v>Soybean Calendar Spread 6, (1*ZSEN26-1*ZSEK27)</v>
        <stp/>
        <stp>ContractData</stp>
        <stp>ZSES6N6</stp>
        <stp>LongDescription</stp>
        <stp/>
        <stp>T</stp>
        <tr r="AI13" s="11"/>
        <tr r="AI13" s="11"/>
        <tr r="AI13" s="11"/>
        <tr r="AI13" s="11"/>
        <tr r="AI13" s="11"/>
      </tp>
      <tp t="s">
        <v>Soybean Calendar Spread 6, (1*ZSEN25-1*ZSEK26)</v>
        <stp/>
        <stp>ContractData</stp>
        <stp>ZSES6N5</stp>
        <stp>LongDescription</stp>
        <stp/>
        <stp>T</stp>
        <tr r="AI6" s="11"/>
        <tr r="AI6" s="11"/>
        <tr r="AI6" s="11"/>
        <tr r="AI6" s="11"/>
        <tr r="AI6" s="11"/>
      </tp>
      <tp t="s">
        <v>Soybean Calendar Spread 6, (1*ZSEF26-1*ZSEX26)</v>
        <stp/>
        <stp>ContractData</stp>
        <stp>ZSES6F6</stp>
        <stp>LongDescription</stp>
        <stp/>
        <stp>T</stp>
        <tr r="AI10" s="11"/>
        <tr r="AI10" s="11"/>
        <tr r="AI10" s="11"/>
        <tr r="AI10" s="11"/>
        <tr r="AI10" s="11"/>
      </tp>
      <tp t="s">
        <v>Soybean Calendar Spread 6, (1*ZSEF25-1*ZSEX25)</v>
        <stp/>
        <stp>ContractData</stp>
        <stp>ZSES6F5</stp>
        <stp>LongDescription</stp>
        <stp/>
        <stp>T</stp>
        <tr r="AI3" s="11"/>
        <tr r="AI3" s="11"/>
        <tr r="AI3" s="11"/>
        <tr r="AI3" s="11"/>
        <tr r="AI3" s="11"/>
      </tp>
      <tp t="s">
        <v>SoyBean Calendar Spread 1, (1*ZSEX24-1*ZSEF25)</v>
        <stp/>
        <stp>ContractData</stp>
        <stp>ZSES1X4</stp>
        <stp>LongDescription</stp>
        <stp/>
        <stp>T</stp>
        <tr r="AI15" s="6"/>
        <tr r="AI15" s="6"/>
        <tr r="AI15" s="6"/>
        <tr r="AI15" s="6"/>
        <tr r="AI2" s="6"/>
        <tr r="AI2" s="6"/>
        <tr r="AI2" s="6"/>
        <tr r="AI2" s="6"/>
        <tr r="AI2" s="6"/>
      </tp>
      <tp t="s">
        <v>SoyBean Calendar Spread 1, (1*ZSEX25-1*ZSEF26)</v>
        <stp/>
        <stp>ContractData</stp>
        <stp>ZSES1X5</stp>
        <stp>LongDescription</stp>
        <stp/>
        <stp>T</stp>
        <tr r="AI9" s="6"/>
        <tr r="AI9" s="6"/>
        <tr r="AI9" s="6"/>
        <tr r="AI9" s="6"/>
        <tr r="AI9" s="6"/>
      </tp>
      <tp t="s">
        <v>SoyBean Calendar Spread 1, (1*ZSEQ25-1*ZSEU25)</v>
        <stp/>
        <stp>ContractData</stp>
        <stp>ZSES1Q5</stp>
        <stp>LongDescription</stp>
        <stp/>
        <stp>T</stp>
        <tr r="AI7" s="6"/>
        <tr r="AI7" s="6"/>
        <tr r="AI7" s="6"/>
        <tr r="AI7" s="6"/>
        <tr r="AI7" s="6"/>
      </tp>
      <tp t="s">
        <v>SoyBean Calendar Spread 1, (1*ZSEU25-1*ZSEX25)</v>
        <stp/>
        <stp>ContractData</stp>
        <stp>ZSES1U5</stp>
        <stp>LongDescription</stp>
        <stp/>
        <stp>T</stp>
        <tr r="AI8" s="6"/>
        <tr r="AI8" s="6"/>
        <tr r="AI8" s="6"/>
        <tr r="AI8" s="6"/>
        <tr r="AI8" s="6"/>
      </tp>
      <tp t="s">
        <v>SoyBean Calendar Spread 1, (1*ZSEK26-1*ZSEN26)</v>
        <stp/>
        <stp>ContractData</stp>
        <stp>ZSES1K6</stp>
        <stp>LongDescription</stp>
        <stp/>
        <stp>T</stp>
        <tr r="AI12" s="6"/>
        <tr r="AI12" s="6"/>
        <tr r="AI12" s="6"/>
        <tr r="AI12" s="6"/>
        <tr r="AI12" s="6"/>
      </tp>
      <tp t="s">
        <v>SoyBean Calendar Spread 1, (1*ZSEK25-1*ZSEN25)</v>
        <stp/>
        <stp>ContractData</stp>
        <stp>ZSES1K5</stp>
        <stp>LongDescription</stp>
        <stp/>
        <stp>T</stp>
        <tr r="AI5" s="6"/>
        <tr r="AI5" s="6"/>
        <tr r="AI5" s="6"/>
        <tr r="AI5" s="6"/>
        <tr r="AI5" s="6"/>
      </tp>
      <tp t="s">
        <v>SoyBean Calendar Spread 1, (1*ZSEH26-1*ZSEK26)</v>
        <stp/>
        <stp>ContractData</stp>
        <stp>ZSES1H6</stp>
        <stp>LongDescription</stp>
        <stp/>
        <stp>T</stp>
        <tr r="AI11" s="6"/>
        <tr r="AI11" s="6"/>
        <tr r="AI11" s="6"/>
        <tr r="AI11" s="6"/>
        <tr r="AI11" s="6"/>
      </tp>
      <tp t="s">
        <v>SoyBean Calendar Spread 1, (1*ZSEH25-1*ZSEK25)</v>
        <stp/>
        <stp>ContractData</stp>
        <stp>ZSES1H5</stp>
        <stp>LongDescription</stp>
        <stp/>
        <stp>T</stp>
        <tr r="AI4" s="6"/>
        <tr r="AI4" s="6"/>
        <tr r="AI4" s="6"/>
        <tr r="AI4" s="6"/>
        <tr r="AI4" s="6"/>
      </tp>
      <tp t="s">
        <v>SoyBean Calendar Spread 1, (1*ZSEN26-1*ZSEQ26)</v>
        <stp/>
        <stp>ContractData</stp>
        <stp>ZSES1N6</stp>
        <stp>LongDescription</stp>
        <stp/>
        <stp>T</stp>
        <tr r="AI13" s="6"/>
        <tr r="AI13" s="6"/>
        <tr r="AI13" s="6"/>
        <tr r="AI13" s="6"/>
        <tr r="AI13" s="6"/>
      </tp>
      <tp t="s">
        <v>SoyBean Calendar Spread 1, (1*ZSEN25-1*ZSEQ25)</v>
        <stp/>
        <stp>ContractData</stp>
        <stp>ZSES1N5</stp>
        <stp>LongDescription</stp>
        <stp/>
        <stp>T</stp>
        <tr r="AI6" s="6"/>
        <tr r="AI6" s="6"/>
        <tr r="AI6" s="6"/>
        <tr r="AI6" s="6"/>
        <tr r="AI6" s="6"/>
      </tp>
      <tp t="s">
        <v>SoyBean Calendar Spread 1, (1*ZSEF26-1*ZSEH26)</v>
        <stp/>
        <stp>ContractData</stp>
        <stp>ZSES1F6</stp>
        <stp>LongDescription</stp>
        <stp/>
        <stp>T</stp>
        <tr r="AI10" s="6"/>
        <tr r="AI10" s="6"/>
        <tr r="AI10" s="6"/>
        <tr r="AI10" s="6"/>
        <tr r="AI10" s="6"/>
      </tp>
      <tp t="s">
        <v>SoyBean Calendar Spread 1, (1*ZSEF25-1*ZSEH25)</v>
        <stp/>
        <stp>ContractData</stp>
        <stp>ZSES1F5</stp>
        <stp>LongDescription</stp>
        <stp/>
        <stp>T</stp>
        <tr r="AI3" s="6"/>
        <tr r="AI3" s="6"/>
        <tr r="AI3" s="6"/>
        <tr r="AI3" s="6"/>
        <tr r="AI3" s="6"/>
      </tp>
      <tp t="s">
        <v>Soybean Calendar Spread 2, (1*ZSEX24-1*ZSEH25)</v>
        <stp/>
        <stp>ContractData</stp>
        <stp>ZSES2X4</stp>
        <stp>LongDescription</stp>
        <stp/>
        <stp>T</stp>
        <tr r="AI2" s="7"/>
        <tr r="AI2" s="7"/>
        <tr r="AI2" s="7"/>
        <tr r="AI2" s="7"/>
        <tr r="AI2" s="7"/>
      </tp>
      <tp t="s">
        <v>Soybean Calendar Spread 2, (1*ZSEX25-1*ZSEH26)</v>
        <stp/>
        <stp>ContractData</stp>
        <stp>ZSES2X5</stp>
        <stp>LongDescription</stp>
        <stp/>
        <stp>T</stp>
        <tr r="AI9" s="7"/>
        <tr r="AI9" s="7"/>
        <tr r="AI9" s="7"/>
        <tr r="AI9" s="7"/>
        <tr r="AI9" s="7"/>
      </tp>
      <tp t="s">
        <v>Soybean Calendar Spread 2, (1*ZSEQ25-1*ZSEX25)</v>
        <stp/>
        <stp>ContractData</stp>
        <stp>ZSES2Q5</stp>
        <stp>LongDescription</stp>
        <stp/>
        <stp>T</stp>
        <tr r="AI7" s="7"/>
        <tr r="AI7" s="7"/>
        <tr r="AI7" s="7"/>
        <tr r="AI7" s="7"/>
        <tr r="AI7" s="7"/>
      </tp>
      <tp t="s">
        <v>Soybean Calendar Spread 2, (1*ZSEU25-1*ZSEF26)</v>
        <stp/>
        <stp>ContractData</stp>
        <stp>ZSES2U5</stp>
        <stp>LongDescription</stp>
        <stp/>
        <stp>T</stp>
        <tr r="AI8" s="7"/>
        <tr r="AI8" s="7"/>
        <tr r="AI8" s="7"/>
        <tr r="AI8" s="7"/>
        <tr r="AI8" s="7"/>
      </tp>
      <tp t="s">
        <v>Soybean Calendar Spread 2, (1*ZSEK26-1*ZSEQ26)</v>
        <stp/>
        <stp>ContractData</stp>
        <stp>ZSES2K6</stp>
        <stp>LongDescription</stp>
        <stp/>
        <stp>T</stp>
        <tr r="AI12" s="7"/>
        <tr r="AI12" s="7"/>
        <tr r="AI12" s="7"/>
        <tr r="AI12" s="7"/>
        <tr r="AI12" s="7"/>
      </tp>
      <tp t="s">
        <v>Soybean Calendar Spread 2, (1*ZSEK25-1*ZSEQ25)</v>
        <stp/>
        <stp>ContractData</stp>
        <stp>ZSES2K5</stp>
        <stp>LongDescription</stp>
        <stp/>
        <stp>T</stp>
        <tr r="AI5" s="7"/>
        <tr r="AI5" s="7"/>
        <tr r="AI5" s="7"/>
        <tr r="AI5" s="7"/>
        <tr r="AI5" s="7"/>
      </tp>
      <tp t="s">
        <v>Soybean Calendar Spread 2, (1*ZSEH26-1*ZSEN26)</v>
        <stp/>
        <stp>ContractData</stp>
        <stp>ZSES2H6</stp>
        <stp>LongDescription</stp>
        <stp/>
        <stp>T</stp>
        <tr r="AI11" s="7"/>
        <tr r="AI11" s="7"/>
        <tr r="AI11" s="7"/>
        <tr r="AI11" s="7"/>
        <tr r="AI11" s="7"/>
      </tp>
      <tp t="s">
        <v>Soybean Calendar Spread 2, (1*ZSEH25-1*ZSEN25)</v>
        <stp/>
        <stp>ContractData</stp>
        <stp>ZSES2H5</stp>
        <stp>LongDescription</stp>
        <stp/>
        <stp>T</stp>
        <tr r="AI4" s="7"/>
        <tr r="AI4" s="7"/>
        <tr r="AI4" s="7"/>
        <tr r="AI4" s="7"/>
        <tr r="AI4" s="7"/>
      </tp>
      <tp t="s">
        <v>Soybean Calendar Spread 2, (1*ZSEN26-1*ZSEU26)</v>
        <stp/>
        <stp>ContractData</stp>
        <stp>ZSES2N6</stp>
        <stp>LongDescription</stp>
        <stp/>
        <stp>T</stp>
        <tr r="AI13" s="7"/>
        <tr r="AI13" s="7"/>
        <tr r="AI13" s="7"/>
        <tr r="AI13" s="7"/>
        <tr r="AI13" s="7"/>
      </tp>
      <tp t="s">
        <v>Soybean Calendar Spread 2, (1*ZSEN25-1*ZSEU25)</v>
        <stp/>
        <stp>ContractData</stp>
        <stp>ZSES2N5</stp>
        <stp>LongDescription</stp>
        <stp/>
        <stp>T</stp>
        <tr r="AI6" s="7"/>
        <tr r="AI6" s="7"/>
        <tr r="AI6" s="7"/>
        <tr r="AI6" s="7"/>
        <tr r="AI6" s="7"/>
      </tp>
      <tp t="s">
        <v>Soybean Calendar Spread 2, (1*ZSEF26-1*ZSEK26)</v>
        <stp/>
        <stp>ContractData</stp>
        <stp>ZSES2F6</stp>
        <stp>LongDescription</stp>
        <stp/>
        <stp>T</stp>
        <tr r="AI10" s="7"/>
        <tr r="AI10" s="7"/>
        <tr r="AI10" s="7"/>
        <tr r="AI10" s="7"/>
        <tr r="AI10" s="7"/>
      </tp>
      <tp t="s">
        <v>Soybean Calendar Spread 2, (1*ZSEF25-1*ZSEK25)</v>
        <stp/>
        <stp>ContractData</stp>
        <stp>ZSES2F5</stp>
        <stp>LongDescription</stp>
        <stp/>
        <stp>T</stp>
        <tr r="AI3" s="7"/>
        <tr r="AI3" s="7"/>
        <tr r="AI3" s="7"/>
        <tr r="AI3" s="7"/>
        <tr r="AI3" s="7"/>
      </tp>
      <tp t="s">
        <v>Soybean Calendar Spread 3, (1*ZSEX24-1*ZSEK25)</v>
        <stp/>
        <stp>ContractData</stp>
        <stp>ZSES3X4</stp>
        <stp>LongDescription</stp>
        <stp/>
        <stp>T</stp>
        <tr r="AI2" s="8"/>
        <tr r="AI2" s="8"/>
        <tr r="AI2" s="8"/>
        <tr r="AI2" s="8"/>
        <tr r="AI2" s="8"/>
      </tp>
      <tp t="s">
        <v>Soybean Calendar Spread 3, (1*ZSEX25-1*ZSEK26)</v>
        <stp/>
        <stp>ContractData</stp>
        <stp>ZSES3X5</stp>
        <stp>LongDescription</stp>
        <stp/>
        <stp>T</stp>
        <tr r="AI9" s="8"/>
        <tr r="AI9" s="8"/>
        <tr r="AI9" s="8"/>
        <tr r="AI9" s="8"/>
        <tr r="AI9" s="8"/>
      </tp>
      <tp t="s">
        <v>Soybean Calendar Spread 3, (1*ZSEQ25-1*ZSEF26)</v>
        <stp/>
        <stp>ContractData</stp>
        <stp>ZSES3Q5</stp>
        <stp>LongDescription</stp>
        <stp/>
        <stp>T</stp>
        <tr r="AI7" s="8"/>
        <tr r="AI7" s="8"/>
        <tr r="AI7" s="8"/>
        <tr r="AI7" s="8"/>
        <tr r="AI7" s="8"/>
      </tp>
      <tp t="s">
        <v>Soybean Calendar Spread 3, (1*ZSEU25-1*ZSEH26)</v>
        <stp/>
        <stp>ContractData</stp>
        <stp>ZSES3U5</stp>
        <stp>LongDescription</stp>
        <stp/>
        <stp>T</stp>
        <tr r="AI8" s="8"/>
        <tr r="AI8" s="8"/>
        <tr r="AI8" s="8"/>
        <tr r="AI8" s="8"/>
        <tr r="AI8" s="8"/>
      </tp>
      <tp t="s">
        <v>Soybean Calendar Spread 3, (1*ZSEK26-1*ZSEU26)</v>
        <stp/>
        <stp>ContractData</stp>
        <stp>ZSES3K6</stp>
        <stp>LongDescription</stp>
        <stp/>
        <stp>T</stp>
        <tr r="AI12" s="8"/>
        <tr r="AI12" s="8"/>
        <tr r="AI12" s="8"/>
        <tr r="AI12" s="8"/>
        <tr r="AI12" s="8"/>
      </tp>
      <tp t="s">
        <v>Soybean Calendar Spread 3, (1*ZSEK25-1*ZSEU25)</v>
        <stp/>
        <stp>ContractData</stp>
        <stp>ZSES3K5</stp>
        <stp>LongDescription</stp>
        <stp/>
        <stp>T</stp>
        <tr r="AI5" s="8"/>
        <tr r="AI5" s="8"/>
        <tr r="AI5" s="8"/>
        <tr r="AI5" s="8"/>
        <tr r="AI5" s="8"/>
      </tp>
      <tp t="s">
        <v>Soybean Calendar Spread 3, (1*ZSEH26-1*ZSEQ26)</v>
        <stp/>
        <stp>ContractData</stp>
        <stp>ZSES3H6</stp>
        <stp>LongDescription</stp>
        <stp/>
        <stp>T</stp>
        <tr r="AI11" s="8"/>
        <tr r="AI11" s="8"/>
        <tr r="AI11" s="8"/>
        <tr r="AI11" s="8"/>
        <tr r="AI11" s="8"/>
      </tp>
      <tp t="s">
        <v>Soybean Calendar Spread 3, (1*ZSEH25-1*ZSEQ25)</v>
        <stp/>
        <stp>ContractData</stp>
        <stp>ZSES3H5</stp>
        <stp>LongDescription</stp>
        <stp/>
        <stp>T</stp>
        <tr r="AI4" s="8"/>
        <tr r="AI4" s="8"/>
        <tr r="AI4" s="8"/>
        <tr r="AI4" s="8"/>
        <tr r="AI4" s="8"/>
      </tp>
      <tp t="s">
        <v>Soybean Calendar Spread 3, (1*ZSEN26-1*ZSEX26)</v>
        <stp/>
        <stp>ContractData</stp>
        <stp>ZSES3N6</stp>
        <stp>LongDescription</stp>
        <stp/>
        <stp>T</stp>
        <tr r="AI13" s="8"/>
        <tr r="AI13" s="8"/>
        <tr r="AI13" s="8"/>
        <tr r="AI13" s="8"/>
        <tr r="AI13" s="8"/>
      </tp>
      <tp t="s">
        <v>Soybean Calendar Spread 3, (1*ZSEN25-1*ZSEX25)</v>
        <stp/>
        <stp>ContractData</stp>
        <stp>ZSES3N5</stp>
        <stp>LongDescription</stp>
        <stp/>
        <stp>T</stp>
        <tr r="AI6" s="8"/>
        <tr r="AI6" s="8"/>
        <tr r="AI6" s="8"/>
        <tr r="AI6" s="8"/>
        <tr r="AI6" s="8"/>
      </tp>
      <tp t="s">
        <v>Soybean Calendar Spread 3, (1*ZSEF26-1*ZSEN26)</v>
        <stp/>
        <stp>ContractData</stp>
        <stp>ZSES3F6</stp>
        <stp>LongDescription</stp>
        <stp/>
        <stp>T</stp>
        <tr r="AI10" s="8"/>
        <tr r="AI10" s="8"/>
        <tr r="AI10" s="8"/>
        <tr r="AI10" s="8"/>
        <tr r="AI10" s="8"/>
      </tp>
      <tp t="s">
        <v>Soybean Calendar Spread 3, (1*ZSEF25-1*ZSEN25)</v>
        <stp/>
        <stp>ContractData</stp>
        <stp>ZSES3F5</stp>
        <stp>LongDescription</stp>
        <stp/>
        <stp>T</stp>
        <tr r="AI3" s="8"/>
        <tr r="AI3" s="8"/>
        <tr r="AI3" s="8"/>
        <tr r="AI3" s="8"/>
        <tr r="AI3" s="8"/>
      </tp>
      <tp>
        <v>1</v>
        <stp/>
        <stp>ContractData</stp>
        <stp>ZSES1N5</stp>
        <stp>NetLastQuoteToday</stp>
        <stp/>
        <stp>T</stp>
        <tr r="X6" s="6"/>
      </tp>
      <tp>
        <v>4</v>
        <stp/>
        <stp>ContractData</stp>
        <stp>ZSES3N5</stp>
        <stp>NetLastQuoteToday</stp>
        <stp/>
        <stp>T</stp>
        <tr r="X6" s="8"/>
      </tp>
      <tp>
        <v>3</v>
        <stp/>
        <stp>ContractData</stp>
        <stp>ZSES2N5</stp>
        <stp>NetLastQuoteToday</stp>
        <stp/>
        <stp>T</stp>
        <tr r="X6" s="7"/>
      </tp>
      <tp>
        <v>5</v>
        <stp/>
        <stp>ContractData</stp>
        <stp>ZSES5N5</stp>
        <stp>NetLastQuoteToday</stp>
        <stp/>
        <stp>T</stp>
        <tr r="X6" s="10"/>
      </tp>
      <tp>
        <v>4.5</v>
        <stp/>
        <stp>ContractData</stp>
        <stp>ZSES4N5</stp>
        <stp>NetLastQuoteToday</stp>
        <stp/>
        <stp>T</stp>
        <tr r="X6" s="9"/>
      </tp>
      <tp>
        <v>6</v>
        <stp/>
        <stp>ContractData</stp>
        <stp>ZSES6N5</stp>
        <stp>NetLastQuoteToday</stp>
        <stp/>
        <stp>T</stp>
        <tr r="X6" s="11"/>
      </tp>
      <tp>
        <v>1.25</v>
        <stp/>
        <stp>ContractData</stp>
        <stp>ZSES1N6</stp>
        <stp>NetLastQuoteToday</stp>
        <stp/>
        <stp>T</stp>
        <tr r="X13" s="6"/>
      </tp>
      <tp>
        <v>0</v>
        <stp/>
        <stp>ContractData</stp>
        <stp>ZSES3N6</stp>
        <stp>NetLastQuoteToday</stp>
        <stp/>
        <stp>T</stp>
        <tr r="X13" s="8"/>
      </tp>
      <tp t="s">
        <v/>
        <stp/>
        <stp>ContractData</stp>
        <stp>ZSES2N6</stp>
        <stp>NetLastQuoteToday</stp>
        <stp/>
        <stp>T</stp>
        <tr r="X13" s="7"/>
      </tp>
      <tp t="s">
        <v/>
        <stp/>
        <stp>ContractData</stp>
        <stp>ZSES5N6</stp>
        <stp>NetLastQuoteToday</stp>
        <stp/>
        <stp>T</stp>
        <tr r="X13" s="10"/>
      </tp>
      <tp t="s">
        <v/>
        <stp/>
        <stp>ContractData</stp>
        <stp>ZSES4N6</stp>
        <stp>NetLastQuoteToday</stp>
        <stp/>
        <stp>T</stp>
        <tr r="X13" s="9"/>
      </tp>
      <tp t="s">
        <v/>
        <stp/>
        <stp>ContractData</stp>
        <stp>ZSES6N6</stp>
        <stp>NetLastQuoteToday</stp>
        <stp/>
        <stp>T</stp>
        <tr r="X13" s="11"/>
      </tp>
      <tp t="s">
        <v>ZSES1K26</v>
        <stp/>
        <stp>ContractData</stp>
        <stp>ZSES1??11</stp>
        <stp>Symbol</stp>
        <stp/>
        <stp>T</stp>
        <tr r="M26" s="6"/>
      </tp>
      <tp t="s">
        <v>ZSES2N26</v>
        <stp/>
        <stp>ContractData</stp>
        <stp>ZSES2??12</stp>
        <stp>Symbol</stp>
        <stp/>
        <stp>T</stp>
        <tr r="M27" s="7"/>
      </tp>
      <tp t="s">
        <v>ZSES5N26</v>
        <stp/>
        <stp>ContractData</stp>
        <stp>ZSES5??12</stp>
        <stp>Symbol</stp>
        <stp/>
        <stp>T</stp>
        <tr r="M27" s="10"/>
      </tp>
      <tp t="s">
        <v>ZSES6K26</v>
        <stp/>
        <stp>ContractData</stp>
        <stp>ZSES6??11</stp>
        <stp>Symbol</stp>
        <stp/>
        <stp>T</stp>
        <tr r="M26" s="11"/>
      </tp>
      <tp t="s">
        <v>ZSEK26</v>
        <stp/>
        <stp>ContractData</stp>
        <stp>ZSEK26</stp>
        <stp>Symbol</stp>
        <tr r="U6" s="2"/>
      </tp>
      <tp t="s">
        <v>ZSEK25</v>
        <stp/>
        <stp>ContractData</stp>
        <stp>ZSEK25</stp>
        <stp>Symbol</stp>
        <tr r="N6" s="2"/>
      </tp>
      <tp t="s">
        <v>ZSEH26</v>
        <stp/>
        <stp>ContractData</stp>
        <stp>ZSEH26</stp>
        <stp>Symbol</stp>
        <tr r="T6" s="2"/>
      </tp>
      <tp t="s">
        <v>ZSEH25</v>
        <stp/>
        <stp>ContractData</stp>
        <stp>ZSEH25</stp>
        <stp>Symbol</stp>
        <tr r="M6" s="2"/>
      </tp>
      <tp t="s">
        <v>ZSEN26</v>
        <stp/>
        <stp>ContractData</stp>
        <stp>ZSEN26</stp>
        <stp>Symbol</stp>
        <tr r="V6" s="2"/>
      </tp>
      <tp t="s">
        <v>ZSEN25</v>
        <stp/>
        <stp>ContractData</stp>
        <stp>ZSEN25</stp>
        <stp>Symbol</stp>
        <tr r="O6" s="2"/>
      </tp>
      <tp t="s">
        <v>ZSEF26</v>
        <stp/>
        <stp>ContractData</stp>
        <stp>ZSEF26</stp>
        <stp>Symbol</stp>
        <tr r="S6" s="2"/>
      </tp>
      <tp t="s">
        <v>ZSEF25</v>
        <stp/>
        <stp>ContractData</stp>
        <stp>ZSEF25</stp>
        <stp>Symbol</stp>
        <tr r="L6" s="2"/>
      </tp>
      <tp t="s">
        <v>ZSEX24</v>
        <stp/>
        <stp>ContractData</stp>
        <stp>ZSEX24</stp>
        <stp>Symbol</stp>
        <tr r="K6" s="2"/>
      </tp>
      <tp t="s">
        <v>ZSEX25</v>
        <stp/>
        <stp>ContractData</stp>
        <stp>ZSEX25</stp>
        <stp>Symbol</stp>
        <tr r="R6" s="2"/>
      </tp>
      <tp t="s">
        <v>ZSEQ25</v>
        <stp/>
        <stp>ContractData</stp>
        <stp>ZSEQ25</stp>
        <stp>Symbol</stp>
        <tr r="P6" s="2"/>
      </tp>
      <tp>
        <v>0.75</v>
        <stp/>
        <stp>ContractData</stp>
        <stp>ZSES1H5</stp>
        <stp>NetLastQuoteToday</stp>
        <stp/>
        <stp>T</stp>
        <tr r="X4" s="6"/>
      </tp>
      <tp>
        <v>2</v>
        <stp/>
        <stp>ContractData</stp>
        <stp>ZSES3H5</stp>
        <stp>NetLastQuoteToday</stp>
        <stp/>
        <stp>T</stp>
        <tr r="X4" s="8"/>
      </tp>
      <tp>
        <v>1.25</v>
        <stp/>
        <stp>ContractData</stp>
        <stp>ZSES2H5</stp>
        <stp>NetLastQuoteToday</stp>
        <stp/>
        <stp>T</stp>
        <tr r="X4" s="7"/>
      </tp>
      <tp>
        <v>4.75</v>
        <stp/>
        <stp>ContractData</stp>
        <stp>ZSES5H5</stp>
        <stp>NetLastQuoteToday</stp>
        <stp/>
        <stp>T</stp>
        <tr r="X4" s="10"/>
      </tp>
      <tp>
        <v>3.75</v>
        <stp/>
        <stp>ContractData</stp>
        <stp>ZSES4H5</stp>
        <stp>NetLastQuoteToday</stp>
        <stp/>
        <stp>T</stp>
        <tr r="X4" s="9"/>
      </tp>
      <tp>
        <v>5.5</v>
        <stp/>
        <stp>ContractData</stp>
        <stp>ZSES6H5</stp>
        <stp>NetLastQuoteToday</stp>
        <stp/>
        <stp>T</stp>
        <tr r="X4" s="11"/>
      </tp>
      <tp>
        <v>0.5</v>
        <stp/>
        <stp>ContractData</stp>
        <stp>ZSES1H6</stp>
        <stp>NetLastQuoteToday</stp>
        <stp/>
        <stp>T</stp>
        <tr r="X11" s="6"/>
      </tp>
      <tp t="s">
        <v/>
        <stp/>
        <stp>ContractData</stp>
        <stp>ZSES3H6</stp>
        <stp>NetLastQuoteToday</stp>
        <stp/>
        <stp>T</stp>
        <tr r="X11" s="8"/>
      </tp>
      <tp>
        <v>2</v>
        <stp/>
        <stp>ContractData</stp>
        <stp>ZSES2H6</stp>
        <stp>NetLastQuoteToday</stp>
        <stp/>
        <stp>T</stp>
        <tr r="X11" s="7"/>
      </tp>
      <tp>
        <v>-0.75</v>
        <stp/>
        <stp>ContractData</stp>
        <stp>ZSES5H6</stp>
        <stp>NetLastQuoteToday</stp>
        <stp/>
        <stp>T</stp>
        <tr r="X11" s="10"/>
      </tp>
      <tp>
        <v>29</v>
        <stp/>
        <stp>ContractData</stp>
        <stp>ZSES4H6</stp>
        <stp>NetLastQuoteToday</stp>
        <stp/>
        <stp>T</stp>
        <tr r="X11" s="9"/>
      </tp>
      <tp t="s">
        <v/>
        <stp/>
        <stp>ContractData</stp>
        <stp>ZSES6H6</stp>
        <stp>NetLastQuoteToday</stp>
        <stp/>
        <stp>T</stp>
        <tr r="X11" s="11"/>
      </tp>
      <tp t="s">
        <v>ZSEU25</v>
        <stp/>
        <stp>ContractData</stp>
        <stp>ZSEU25</stp>
        <stp>Symbol</stp>
        <tr r="Q6" s="2"/>
      </tp>
      <tp t="s">
        <v>ZSES4N26</v>
        <stp/>
        <stp>ContractData</stp>
        <stp>ZSES4??12</stp>
        <stp>Symbol</stp>
        <stp/>
        <stp>T</stp>
        <tr r="M27" s="9"/>
      </tp>
      <tp t="s">
        <v>ZSES6H26</v>
        <stp/>
        <stp>ContractData</stp>
        <stp>ZSES6??10</stp>
        <stp>Symbol</stp>
        <stp/>
        <stp>T</stp>
        <tr r="M25" s="11"/>
      </tp>
      <tp t="s">
        <v>ZSEN26</v>
        <stp/>
        <stp>ContractData</stp>
        <stp>ZSE?12</stp>
        <stp>Symbol</stp>
        <tr r="Q13" s="6"/>
        <tr r="Q13" s="6"/>
        <tr r="Q13" s="8"/>
        <tr r="Q13" s="8"/>
        <tr r="Q13" s="9"/>
        <tr r="Q13" s="9"/>
        <tr r="T34" s="6"/>
        <tr r="T34" s="6"/>
        <tr r="Q13" s="10"/>
        <tr r="Q13" s="10"/>
        <tr r="Q13" s="11"/>
        <tr r="Q13" s="11"/>
        <tr r="Q13" s="7"/>
        <tr r="Q13" s="7"/>
      </tp>
      <tp t="s">
        <v>ZSEH26</v>
        <stp/>
        <stp>ContractData</stp>
        <stp>ZSE?10</stp>
        <stp>Symbol</stp>
        <tr r="Q11" s="7"/>
        <tr r="Q11" s="7"/>
        <tr r="Q11" s="8"/>
        <tr r="Q11" s="8"/>
        <tr r="Q11" s="6"/>
        <tr r="Q11" s="6"/>
        <tr r="Q11" s="10"/>
        <tr r="Q11" s="10"/>
        <tr r="Q11" s="9"/>
        <tr r="Q11" s="9"/>
        <tr r="T32" s="6"/>
        <tr r="T32" s="6"/>
        <tr r="Q11" s="11"/>
        <tr r="Q11" s="11"/>
      </tp>
      <tp t="s">
        <v>ZSEK26</v>
        <stp/>
        <stp>ContractData</stp>
        <stp>ZSE?11</stp>
        <stp>Symbol</stp>
        <tr r="Q12" s="10"/>
        <tr r="Q12" s="10"/>
        <tr r="Q12" s="9"/>
        <tr r="Q12" s="9"/>
        <tr r="Q12" s="7"/>
        <tr r="Q12" s="7"/>
        <tr r="Q12" s="6"/>
        <tr r="Q12" s="6"/>
        <tr r="Q12" s="11"/>
        <tr r="Q12" s="11"/>
        <tr r="Q12" s="8"/>
        <tr r="Q12" s="8"/>
        <tr r="T33" s="6"/>
        <tr r="T33" s="6"/>
      </tp>
      <tp t="s">
        <v/>
        <stp/>
        <stp>ContractData</stp>
        <stp>ZSES3U5</stp>
        <stp>LastTradeorSettle</stp>
        <stp/>
        <stp>T</stp>
        <tr r="W8" s="8"/>
      </tp>
      <tp>
        <v>-6.75</v>
        <stp/>
        <stp>ContractData</stp>
        <stp>ZSES2U5</stp>
        <stp>LastTradeorSettle</stp>
        <stp/>
        <stp>T</stp>
        <tr r="W8" s="7"/>
      </tp>
      <tp>
        <v>2.5</v>
        <stp/>
        <stp>ContractData</stp>
        <stp>ZSES1U5</stp>
        <stp>LastTradeorSettle</stp>
        <stp/>
        <stp>T</stp>
        <tr r="W8" s="6"/>
        <tr r="W8" s="6"/>
      </tp>
      <tp t="s">
        <v/>
        <stp/>
        <stp>ContractData</stp>
        <stp>ZSES6U5</stp>
        <stp>LastTradeorSettle</stp>
        <stp/>
        <stp>T</stp>
        <tr r="W8" s="11"/>
      </tp>
      <tp t="s">
        <v/>
        <stp/>
        <stp>ContractData</stp>
        <stp>ZSES5U5</stp>
        <stp>LastTradeorSettle</stp>
        <stp/>
        <stp>T</stp>
        <tr r="W8" s="10"/>
      </tp>
      <tp t="s">
        <v/>
        <stp/>
        <stp>ContractData</stp>
        <stp>ZSES4U5</stp>
        <stp>LastTradeorSettle</stp>
        <stp/>
        <stp>T</stp>
        <tr r="W8" s="9"/>
      </tp>
      <tp>
        <v>0.5</v>
        <stp/>
        <stp>ContractData</stp>
        <stp>ZSES1K5</stp>
        <stp>NetLastQuoteToday</stp>
        <stp/>
        <stp>T</stp>
        <tr r="X5" s="6"/>
      </tp>
      <tp>
        <v>3.5</v>
        <stp/>
        <stp>ContractData</stp>
        <stp>ZSES3K5</stp>
        <stp>NetLastQuoteToday</stp>
        <stp/>
        <stp>T</stp>
        <tr r="X5" s="8"/>
      </tp>
      <tp>
        <v>1.75</v>
        <stp/>
        <stp>ContractData</stp>
        <stp>ZSES2K5</stp>
        <stp>NetLastQuoteToday</stp>
        <stp/>
        <stp>T</stp>
        <tr r="X5" s="7"/>
      </tp>
      <tp>
        <v>5</v>
        <stp/>
        <stp>ContractData</stp>
        <stp>ZSES5K5</stp>
        <stp>NetLastQuoteToday</stp>
        <stp/>
        <stp>T</stp>
        <tr r="X5" s="10"/>
      </tp>
      <tp>
        <v>4</v>
        <stp/>
        <stp>ContractData</stp>
        <stp>ZSES4K5</stp>
        <stp>NetLastQuoteToday</stp>
        <stp/>
        <stp>T</stp>
        <tr r="X5" s="9"/>
      </tp>
      <tp>
        <v>5.5</v>
        <stp/>
        <stp>ContractData</stp>
        <stp>ZSES6K5</stp>
        <stp>NetLastQuoteToday</stp>
        <stp/>
        <stp>T</stp>
        <tr r="X5" s="11"/>
      </tp>
      <tp>
        <v>0.5</v>
        <stp/>
        <stp>ContractData</stp>
        <stp>ZSES1K6</stp>
        <stp>NetLastQuoteToday</stp>
        <stp/>
        <stp>T</stp>
        <tr r="X12" s="6"/>
      </tp>
      <tp>
        <v>28.75</v>
        <stp/>
        <stp>ContractData</stp>
        <stp>ZSES3K6</stp>
        <stp>NetLastQuoteToday</stp>
        <stp/>
        <stp>T</stp>
        <tr r="X12" s="8"/>
      </tp>
      <tp t="s">
        <v/>
        <stp/>
        <stp>ContractData</stp>
        <stp>ZSES2K6</stp>
        <stp>NetLastQuoteToday</stp>
        <stp/>
        <stp>T</stp>
        <tr r="X12" s="7"/>
      </tp>
      <tp t="s">
        <v/>
        <stp/>
        <stp>ContractData</stp>
        <stp>ZSES5K6</stp>
        <stp>NetLastQuoteToday</stp>
        <stp/>
        <stp>T</stp>
        <tr r="X12" s="10"/>
      </tp>
      <tp>
        <v>-1.75</v>
        <stp/>
        <stp>ContractData</stp>
        <stp>ZSES4K6</stp>
        <stp>NetLastQuoteToday</stp>
        <stp/>
        <stp>T</stp>
        <tr r="X12" s="9"/>
      </tp>
      <tp t="s">
        <v/>
        <stp/>
        <stp>ContractData</stp>
        <stp>ZSES6K6</stp>
        <stp>NetLastQuoteToday</stp>
        <stp/>
        <stp>T</stp>
        <tr r="X12" s="11"/>
      </tp>
      <tp t="s">
        <v>ZSES4K26</v>
        <stp/>
        <stp>ContractData</stp>
        <stp>ZSES4??11</stp>
        <stp>Symbol</stp>
        <stp/>
        <stp>T</stp>
        <tr r="M26" s="9"/>
      </tp>
      <tp t="s">
        <v>ZSES5H26</v>
        <stp/>
        <stp>ContractData</stp>
        <stp>ZSES5??10</stp>
        <stp>Symbol</stp>
        <stp/>
        <stp>T</stp>
        <tr r="M25" s="10"/>
      </tp>
      <tp t="s">
        <v>ZSES4H26</v>
        <stp/>
        <stp>ContractData</stp>
        <stp>ZSES4??10</stp>
        <stp>Symbol</stp>
        <stp/>
        <stp>T</stp>
        <tr r="M25" s="9"/>
      </tp>
      <tp t="s">
        <v>ZSES5K26</v>
        <stp/>
        <stp>ContractData</stp>
        <stp>ZSES5??11</stp>
        <stp>Symbol</stp>
        <stp/>
        <stp>T</stp>
        <tr r="M26" s="10"/>
      </tp>
      <tp t="s">
        <v>ZSES6N26</v>
        <stp/>
        <stp>ContractData</stp>
        <stp>ZSES6??12</stp>
        <stp>Symbol</stp>
        <stp/>
        <stp>T</stp>
        <tr r="M27" s="11"/>
      </tp>
      <tp>
        <v>1003.5</v>
        <stp/>
        <stp>StudyData</stp>
        <stp>Close(ZSE?2)when (LocalMonth(ZSE?2)=10 and LocalDay(ZSE?2)=15 and LocalYear(ZSEF25)=2024)</stp>
        <stp>Bar</stp>
        <stp/>
        <stp>Close</stp>
        <stp>D</stp>
        <stp>0</stp>
        <stp>ALL</stp>
        <stp/>
        <stp/>
        <stp>FALSE</stp>
        <stp>T</stp>
        <tr r="E17" s="8"/>
        <tr r="E17" s="9"/>
        <tr r="E17" s="6"/>
        <tr r="E17" s="6"/>
        <tr r="E17" s="7"/>
        <tr r="E17" s="10"/>
        <tr r="E17" s="11"/>
      </tp>
      <tp>
        <v>1047.25</v>
        <stp/>
        <stp>StudyData</stp>
        <stp>Close(ZSE?9)when (LocalMonth(ZSE?9)=10 and LocalDay(ZSE?9)=15 and LocalYear(ZSEF26)=2024)</stp>
        <stp>Bar</stp>
        <stp/>
        <stp>Close</stp>
        <stp>D</stp>
        <stp>0</stp>
        <stp>ALL</stp>
        <stp/>
        <stp/>
        <stp>FALSE</stp>
        <stp>T</stp>
        <tr r="E24" s="8"/>
        <tr r="E24" s="9"/>
        <tr r="E24" s="6"/>
        <tr r="E24" s="6"/>
        <tr r="E24" s="11"/>
        <tr r="E24" s="7"/>
        <tr r="E24" s="10"/>
      </tp>
      <tp t="s">
        <v>ZSES2Q25</v>
        <stp/>
        <stp>ContractData</stp>
        <stp>ZSES2??6</stp>
        <stp>Symbol</stp>
        <tr r="A50" s="2"/>
        <tr r="A50" s="2"/>
      </tp>
      <tp t="s">
        <v>ZSES2U25</v>
        <stp/>
        <stp>ContractData</stp>
        <stp>ZSES2??7</stp>
        <stp>Symbol</stp>
        <tr r="A51" s="2"/>
        <tr r="A51" s="2"/>
      </tp>
      <tp t="s">
        <v>ZSES2K25</v>
        <stp/>
        <stp>ContractData</stp>
        <stp>ZSES2??4</stp>
        <stp>Symbol</stp>
        <tr r="A48" s="2"/>
        <tr r="A48" s="2"/>
      </tp>
      <tp t="s">
        <v>ZSES2N25</v>
        <stp/>
        <stp>ContractData</stp>
        <stp>ZSES2??5</stp>
        <stp>Symbol</stp>
        <tr r="A49" s="2"/>
        <tr r="A49" s="2"/>
      </tp>
      <tp t="s">
        <v>ZSES2F25</v>
        <stp/>
        <stp>ContractData</stp>
        <stp>ZSES2??2</stp>
        <stp>Symbol</stp>
        <tr r="A46" s="2"/>
        <tr r="A46" s="2"/>
      </tp>
      <tp t="s">
        <v>ZSES2H25</v>
        <stp/>
        <stp>ContractData</stp>
        <stp>ZSES2??3</stp>
        <stp>Symbol</stp>
        <tr r="A47" s="2"/>
        <tr r="A47" s="2"/>
      </tp>
      <tp t="s">
        <v>ZSES2X24</v>
        <stp/>
        <stp>ContractData</stp>
        <stp>ZSES2??1</stp>
        <stp>Symbol</stp>
        <tr r="A45" s="2"/>
        <tr r="A45" s="2"/>
      </tp>
      <tp t="s">
        <v>ZSES2X25</v>
        <stp/>
        <stp>ContractData</stp>
        <stp>ZSES2??8</stp>
        <stp>Symbol</stp>
        <tr r="A52" s="2"/>
        <tr r="A52" s="2"/>
      </tp>
      <tp t="s">
        <v>ZSES2F26</v>
        <stp/>
        <stp>ContractData</stp>
        <stp>ZSES2??9</stp>
        <stp>Symbol</stp>
        <tr r="A53" s="2"/>
        <tr r="A53" s="2"/>
      </tp>
      <tp t="s">
        <v>ZSES3Q25</v>
        <stp/>
        <stp>ContractData</stp>
        <stp>ZSES3??6</stp>
        <stp>Symbol</stp>
        <tr r="A66" s="2"/>
        <tr r="A66" s="2"/>
      </tp>
      <tp t="s">
        <v>ZSES3U25</v>
        <stp/>
        <stp>ContractData</stp>
        <stp>ZSES3??7</stp>
        <stp>Symbol</stp>
        <tr r="A67" s="2"/>
        <tr r="A67" s="2"/>
      </tp>
      <tp t="s">
        <v>ZSES3K25</v>
        <stp/>
        <stp>ContractData</stp>
        <stp>ZSES3??4</stp>
        <stp>Symbol</stp>
        <tr r="A64" s="2"/>
        <tr r="A64" s="2"/>
      </tp>
      <tp t="s">
        <v>ZSES3N25</v>
        <stp/>
        <stp>ContractData</stp>
        <stp>ZSES3??5</stp>
        <stp>Symbol</stp>
        <tr r="A65" s="2"/>
        <tr r="A65" s="2"/>
      </tp>
      <tp t="s">
        <v>ZSES3F25</v>
        <stp/>
        <stp>ContractData</stp>
        <stp>ZSES3??2</stp>
        <stp>Symbol</stp>
        <tr r="A62" s="2"/>
        <tr r="A62" s="2"/>
      </tp>
      <tp t="s">
        <v>ZSES3H25</v>
        <stp/>
        <stp>ContractData</stp>
        <stp>ZSES3??3</stp>
        <stp>Symbol</stp>
        <tr r="A63" s="2"/>
        <tr r="A63" s="2"/>
      </tp>
      <tp t="s">
        <v>ZSES3X24</v>
        <stp/>
        <stp>ContractData</stp>
        <stp>ZSES3??1</stp>
        <stp>Symbol</stp>
        <tr r="A61" s="2"/>
        <tr r="A61" s="2"/>
      </tp>
      <tp t="s">
        <v>ZSES3X25</v>
        <stp/>
        <stp>ContractData</stp>
        <stp>ZSES3??8</stp>
        <stp>Symbol</stp>
        <tr r="A68" s="2"/>
        <tr r="A68" s="2"/>
      </tp>
      <tp t="s">
        <v>ZSES3F26</v>
        <stp/>
        <stp>ContractData</stp>
        <stp>ZSES3??9</stp>
        <stp>Symbol</stp>
        <tr r="A69" s="2"/>
        <tr r="A69" s="2"/>
      </tp>
      <tp t="s">
        <v>ZSES3U25</v>
        <stp/>
        <stp>ContractData</stp>
        <stp>ZSES3U5</stp>
        <stp>Symbol</stp>
        <stp/>
        <stp>T</stp>
        <tr r="J3" s="8"/>
      </tp>
      <tp t="s">
        <v>ZSES3Q25</v>
        <stp/>
        <stp>ContractData</stp>
        <stp>ZSES3Q5</stp>
        <stp>Symbol</stp>
        <stp/>
        <stp>T</stp>
        <tr r="I3" s="8"/>
      </tp>
      <tp t="s">
        <v>ZSES3X25</v>
        <stp/>
        <stp>ContractData</stp>
        <stp>ZSES3X5</stp>
        <stp>Symbol</stp>
        <stp/>
        <stp>T</stp>
        <tr r="K3" s="8"/>
      </tp>
      <tp t="s">
        <v>ZSES3F25</v>
        <stp/>
        <stp>ContractData</stp>
        <stp>ZSES3F5</stp>
        <stp>Symbol</stp>
        <stp/>
        <stp>T</stp>
        <tr r="E3" s="8"/>
      </tp>
      <tp t="s">
        <v>ZSES3N25</v>
        <stp/>
        <stp>ContractData</stp>
        <stp>ZSES3N5</stp>
        <stp>Symbol</stp>
        <stp/>
        <stp>T</stp>
        <tr r="H3" s="8"/>
      </tp>
      <tp t="s">
        <v>ZSES3K25</v>
        <stp/>
        <stp>ContractData</stp>
        <stp>ZSES3K5</stp>
        <stp>Symbol</stp>
        <stp/>
        <stp>T</stp>
        <tr r="G3" s="8"/>
      </tp>
      <tp t="s">
        <v>ZSES3H25</v>
        <stp/>
        <stp>ContractData</stp>
        <stp>ZSES3H5</stp>
        <stp>Symbol</stp>
        <stp/>
        <stp>T</stp>
        <tr r="F3" s="8"/>
      </tp>
      <tp>
        <v>1020.75</v>
        <stp/>
        <stp>ContractData</stp>
        <stp>ZSEX24</stp>
        <stp>Open</stp>
        <stp/>
        <stp>T</stp>
        <tr r="C13" s="2"/>
      </tp>
      <tp>
        <v>1051.5</v>
        <stp/>
        <stp>ContractData</stp>
        <stp>ZSEX25</stp>
        <stp>Open</stp>
        <stp/>
        <stp>T</stp>
        <tr r="C20" s="2"/>
      </tp>
      <tp t="s">
        <v>ZSES3F26</v>
        <stp/>
        <stp>ContractData</stp>
        <stp>ZSES3F6</stp>
        <stp>Symbol</stp>
        <stp/>
        <stp>T</stp>
        <tr r="L3" s="8"/>
      </tp>
      <tp t="s">
        <v>ZSES3N26</v>
        <stp/>
        <stp>ContractData</stp>
        <stp>ZSES3N6</stp>
        <stp>Symbol</stp>
        <stp/>
        <stp>T</stp>
        <tr r="O3" s="8"/>
      </tp>
      <tp t="s">
        <v>ZSES3K26</v>
        <stp/>
        <stp>ContractData</stp>
        <stp>ZSES3K6</stp>
        <stp>Symbol</stp>
        <stp/>
        <stp>T</stp>
        <tr r="N3" s="8"/>
      </tp>
      <tp t="s">
        <v>ZSES3H26</v>
        <stp/>
        <stp>ContractData</stp>
        <stp>ZSES3H6</stp>
        <stp>Symbol</stp>
        <stp/>
        <stp>T</stp>
        <tr r="M3" s="8"/>
      </tp>
      <tp t="s">
        <v>ZSES1Q25</v>
        <stp/>
        <stp>ContractData</stp>
        <stp>ZSES1??6</stp>
        <stp>Symbol</stp>
        <tr r="A34" s="2"/>
        <tr r="A34" s="2"/>
      </tp>
      <tp t="s">
        <v>ZSES1U25</v>
        <stp/>
        <stp>ContractData</stp>
        <stp>ZSES1??7</stp>
        <stp>Symbol</stp>
        <tr r="A35" s="2"/>
        <tr r="A35" s="2"/>
      </tp>
      <tp t="s">
        <v>ZSES1K25</v>
        <stp/>
        <stp>ContractData</stp>
        <stp>ZSES1??4</stp>
        <stp>Symbol</stp>
        <tr r="A32" s="2"/>
        <tr r="A32" s="2"/>
      </tp>
      <tp t="s">
        <v>ZSES1N25</v>
        <stp/>
        <stp>ContractData</stp>
        <stp>ZSES1??5</stp>
        <stp>Symbol</stp>
        <tr r="A33" s="2"/>
        <tr r="A33" s="2"/>
      </tp>
      <tp t="s">
        <v>ZSES1F25</v>
        <stp/>
        <stp>ContractData</stp>
        <stp>ZSES1??2</stp>
        <stp>Symbol</stp>
        <tr r="A30" s="2"/>
        <tr r="A30" s="2"/>
      </tp>
      <tp t="s">
        <v>ZSES1H25</v>
        <stp/>
        <stp>ContractData</stp>
        <stp>ZSES1??3</stp>
        <stp>Symbol</stp>
        <tr r="A31" s="2"/>
        <tr r="A31" s="2"/>
      </tp>
      <tp t="s">
        <v>ZSES1X24</v>
        <stp/>
        <stp>ContractData</stp>
        <stp>ZSES1??1</stp>
        <stp>Symbol</stp>
        <tr r="A29" s="2"/>
        <tr r="A29" s="2"/>
      </tp>
      <tp t="s">
        <v>ZSES1X25</v>
        <stp/>
        <stp>ContractData</stp>
        <stp>ZSES1??8</stp>
        <stp>Symbol</stp>
        <tr r="A36" s="2"/>
        <tr r="A36" s="2"/>
      </tp>
      <tp t="s">
        <v>ZSES1F26</v>
        <stp/>
        <stp>ContractData</stp>
        <stp>ZSES1??9</stp>
        <stp>Symbol</stp>
        <tr r="A37" s="2"/>
        <tr r="A37" s="2"/>
      </tp>
      <tp t="s">
        <v>ZSES6Q25</v>
        <stp/>
        <stp>ContractData</stp>
        <stp>ZSES6??6</stp>
        <stp>Symbol</stp>
        <tr r="A114" s="2"/>
        <tr r="A114" s="2"/>
      </tp>
      <tp t="s">
        <v>ZSES6U25</v>
        <stp/>
        <stp>ContractData</stp>
        <stp>ZSES6??7</stp>
        <stp>Symbol</stp>
        <tr r="A115" s="2"/>
        <tr r="A115" s="2"/>
      </tp>
      <tp t="s">
        <v>ZSES6K25</v>
        <stp/>
        <stp>ContractData</stp>
        <stp>ZSES6??4</stp>
        <stp>Symbol</stp>
        <tr r="A112" s="2"/>
        <tr r="A112" s="2"/>
      </tp>
      <tp t="s">
        <v>ZSES6N25</v>
        <stp/>
        <stp>ContractData</stp>
        <stp>ZSES6??5</stp>
        <stp>Symbol</stp>
        <tr r="A113" s="2"/>
        <tr r="A113" s="2"/>
      </tp>
      <tp t="s">
        <v>ZSES6F25</v>
        <stp/>
        <stp>ContractData</stp>
        <stp>ZSES6??2</stp>
        <stp>Symbol</stp>
        <tr r="A110" s="2"/>
        <tr r="A110" s="2"/>
      </tp>
      <tp t="s">
        <v>ZSES6H25</v>
        <stp/>
        <stp>ContractData</stp>
        <stp>ZSES6??3</stp>
        <stp>Symbol</stp>
        <tr r="A111" s="2"/>
        <tr r="A111" s="2"/>
      </tp>
      <tp t="s">
        <v>ZSES6X24</v>
        <stp/>
        <stp>ContractData</stp>
        <stp>ZSES6??1</stp>
        <stp>Symbol</stp>
        <tr r="A109" s="2"/>
        <tr r="A109" s="2"/>
      </tp>
      <tp t="s">
        <v>ZSES6X25</v>
        <stp/>
        <stp>ContractData</stp>
        <stp>ZSES6??8</stp>
        <stp>Symbol</stp>
        <tr r="A116" s="2"/>
        <tr r="A116" s="2"/>
      </tp>
      <tp t="s">
        <v>ZSES6F26</v>
        <stp/>
        <stp>ContractData</stp>
        <stp>ZSES6??9</stp>
        <stp>Symbol</stp>
        <tr r="A117" s="2"/>
        <tr r="A117" s="2"/>
      </tp>
      <tp t="s">
        <v>ZSES4Q25</v>
        <stp/>
        <stp>ContractData</stp>
        <stp>ZSES4??6</stp>
        <stp>Symbol</stp>
        <tr r="A82" s="2"/>
        <tr r="A82" s="2"/>
      </tp>
      <tp t="s">
        <v>ZSES4U25</v>
        <stp/>
        <stp>ContractData</stp>
        <stp>ZSES4??7</stp>
        <stp>Symbol</stp>
        <tr r="A83" s="2"/>
        <tr r="A83" s="2"/>
      </tp>
      <tp t="s">
        <v>ZSES4K25</v>
        <stp/>
        <stp>ContractData</stp>
        <stp>ZSES4??4</stp>
        <stp>Symbol</stp>
        <tr r="A80" s="2"/>
        <tr r="A80" s="2"/>
      </tp>
      <tp t="s">
        <v>ZSES4N25</v>
        <stp/>
        <stp>ContractData</stp>
        <stp>ZSES4??5</stp>
        <stp>Symbol</stp>
        <tr r="A81" s="2"/>
        <tr r="A81" s="2"/>
      </tp>
      <tp t="s">
        <v>ZSES4F25</v>
        <stp/>
        <stp>ContractData</stp>
        <stp>ZSES4??2</stp>
        <stp>Symbol</stp>
        <tr r="A78" s="2"/>
        <tr r="A78" s="2"/>
      </tp>
      <tp t="s">
        <v>ZSES4H25</v>
        <stp/>
        <stp>ContractData</stp>
        <stp>ZSES4??3</stp>
        <stp>Symbol</stp>
        <tr r="A79" s="2"/>
        <tr r="A79" s="2"/>
      </tp>
      <tp t="s">
        <v>ZSES4X24</v>
        <stp/>
        <stp>ContractData</stp>
        <stp>ZSES4??1</stp>
        <stp>Symbol</stp>
        <tr r="A77" s="2"/>
        <tr r="A77" s="2"/>
      </tp>
      <tp t="s">
        <v>ZSES4X25</v>
        <stp/>
        <stp>ContractData</stp>
        <stp>ZSES4??8</stp>
        <stp>Symbol</stp>
        <tr r="A84" s="2"/>
        <tr r="A84" s="2"/>
      </tp>
      <tp t="s">
        <v>ZSES4F26</v>
        <stp/>
        <stp>ContractData</stp>
        <stp>ZSES4??9</stp>
        <stp>Symbol</stp>
        <tr r="A85" s="2"/>
        <tr r="A85" s="2"/>
      </tp>
      <tp>
        <v>1025.75</v>
        <stp/>
        <stp>ContractData</stp>
        <stp>ZSEX24</stp>
        <stp>High</stp>
        <stp/>
        <stp>T</stp>
        <tr r="D13" s="2"/>
      </tp>
      <tp>
        <v>1055.5</v>
        <stp/>
        <stp>ContractData</stp>
        <stp>ZSEX25</stp>
        <stp>High</stp>
        <stp/>
        <stp>T</stp>
        <tr r="D20" s="2"/>
      </tp>
      <tp t="s">
        <v>ZSES5Q25</v>
        <stp/>
        <stp>ContractData</stp>
        <stp>ZSES5??6</stp>
        <stp>Symbol</stp>
        <tr r="A98" s="2"/>
        <tr r="A98" s="2"/>
      </tp>
      <tp t="s">
        <v>ZSES5U25</v>
        <stp/>
        <stp>ContractData</stp>
        <stp>ZSES5??7</stp>
        <stp>Symbol</stp>
        <tr r="A99" s="2"/>
        <tr r="A99" s="2"/>
      </tp>
      <tp t="s">
        <v>ZSES5K25</v>
        <stp/>
        <stp>ContractData</stp>
        <stp>ZSES5??4</stp>
        <stp>Symbol</stp>
        <tr r="A96" s="2"/>
        <tr r="A96" s="2"/>
      </tp>
      <tp t="s">
        <v>ZSES5N25</v>
        <stp/>
        <stp>ContractData</stp>
        <stp>ZSES5??5</stp>
        <stp>Symbol</stp>
        <tr r="A97" s="2"/>
        <tr r="A97" s="2"/>
      </tp>
      <tp t="s">
        <v>ZSES5F25</v>
        <stp/>
        <stp>ContractData</stp>
        <stp>ZSES5??2</stp>
        <stp>Symbol</stp>
        <tr r="A94" s="2"/>
        <tr r="A94" s="2"/>
      </tp>
      <tp t="s">
        <v>ZSES5H25</v>
        <stp/>
        <stp>ContractData</stp>
        <stp>ZSES5??3</stp>
        <stp>Symbol</stp>
        <tr r="A95" s="2"/>
        <tr r="A95" s="2"/>
      </tp>
      <tp t="s">
        <v>ZSES5X24</v>
        <stp/>
        <stp>ContractData</stp>
        <stp>ZSES5??1</stp>
        <stp>Symbol</stp>
        <tr r="A93" s="2"/>
        <tr r="A93" s="2"/>
      </tp>
      <tp t="s">
        <v>ZSES5X25</v>
        <stp/>
        <stp>ContractData</stp>
        <stp>ZSES5??8</stp>
        <stp>Symbol</stp>
        <tr r="A100" s="2"/>
        <tr r="A100" s="2"/>
      </tp>
      <tp t="s">
        <v>ZSES5F26</v>
        <stp/>
        <stp>ContractData</stp>
        <stp>ZSES5??9</stp>
        <stp>Symbol</stp>
        <tr r="A101" s="2"/>
        <tr r="A101" s="2"/>
      </tp>
      <tp t="s">
        <v>ZSEF26</v>
        <stp/>
        <stp>ContractData</stp>
        <stp>ZSE?9</stp>
        <stp>Symbol</stp>
        <tr r="Q10" s="7"/>
        <tr r="Q10" s="7"/>
        <tr r="Q10" s="10"/>
        <tr r="Q10" s="10"/>
        <tr r="Q10" s="9"/>
        <tr r="Q10" s="9"/>
        <tr r="Q10" s="8"/>
        <tr r="Q10" s="8"/>
        <tr r="Q10" s="11"/>
        <tr r="Q10" s="11"/>
        <tr r="T31" s="6"/>
        <tr r="T31" s="6"/>
        <tr r="Q10" s="6"/>
        <tr r="Q10" s="6"/>
      </tp>
      <tp t="s">
        <v>ZSEX25</v>
        <stp/>
        <stp>ContractData</stp>
        <stp>ZSE?8</stp>
        <stp>Symbol</stp>
        <tr r="Q9" s="10"/>
        <tr r="Q9" s="10"/>
        <tr r="T30" s="6"/>
        <tr r="T30" s="6"/>
        <tr r="Q9" s="8"/>
        <tr r="Q9" s="8"/>
        <tr r="Q9" s="7"/>
        <tr r="Q9" s="7"/>
        <tr r="Q9" s="9"/>
        <tr r="Q9" s="9"/>
        <tr r="Q9" s="11"/>
        <tr r="Q9" s="11"/>
        <tr r="Q9" s="6"/>
        <tr r="Q9" s="6"/>
      </tp>
      <tp t="s">
        <v>ZSEH25</v>
        <stp/>
        <stp>ContractData</stp>
        <stp>ZSE?3</stp>
        <stp>Symbol</stp>
        <tr r="T25" s="6"/>
        <tr r="T25" s="6"/>
        <tr r="Q4" s="6"/>
        <tr r="Q4" s="6"/>
        <tr r="Q4" s="7"/>
        <tr r="Q4" s="7"/>
        <tr r="Q4" s="8"/>
        <tr r="Q4" s="8"/>
        <tr r="Q4" s="9"/>
        <tr r="Q4" s="9"/>
        <tr r="Q4" s="10"/>
        <tr r="Q4" s="10"/>
        <tr r="Q4" s="11"/>
        <tr r="Q4" s="11"/>
      </tp>
      <tp t="s">
        <v>ZSEF25</v>
        <stp/>
        <stp>ContractData</stp>
        <stp>ZSE?2</stp>
        <stp>Symbol</stp>
        <tr r="T24" s="6"/>
        <tr r="T24" s="6"/>
        <tr r="S36" s="6"/>
        <tr r="Q3" s="9"/>
        <tr r="Q3" s="9"/>
        <tr r="Q3" s="8"/>
        <tr r="Q3" s="8"/>
        <tr r="S36" s="8"/>
        <tr r="T22" s="6"/>
        <tr r="Q3" s="6"/>
        <tr r="Q3" s="6"/>
        <tr r="S36" s="9"/>
        <tr r="S36" s="11"/>
        <tr r="S36" s="7"/>
        <tr r="Q3" s="10"/>
        <tr r="Q3" s="10"/>
        <tr r="Q3" s="11"/>
        <tr r="Q3" s="11"/>
        <tr r="S36" s="10"/>
        <tr r="Q3" s="7"/>
        <tr r="Q3" s="7"/>
      </tp>
      <tp t="s">
        <v>ZSEX24</v>
        <stp/>
        <stp>ContractData</stp>
        <stp>ZSE?1</stp>
        <stp>Symbol</stp>
        <tr r="Q12" s="10"/>
        <tr r="Q5" s="8"/>
        <tr r="Q7" s="7"/>
        <tr r="T24" s="6"/>
        <tr r="S35" s="6"/>
        <tr r="Q11" s="7"/>
        <tr r="Q10" s="7"/>
        <tr r="Q3" s="9"/>
        <tr r="Q12" s="9"/>
        <tr r="Q9" s="10"/>
        <tr r="Q3" s="8"/>
        <tr r="Q2" s="6"/>
        <tr r="T30" s="6"/>
        <tr r="Q2" s="7"/>
        <tr r="Q8" s="10"/>
        <tr r="T29" s="6"/>
        <tr r="Q5" s="10"/>
        <tr r="S35" s="7"/>
        <tr r="Q11" s="8"/>
        <tr r="Q7" s="10"/>
        <tr r="Q2" s="8"/>
        <tr r="T28" s="6"/>
        <tr r="Q3" s="6"/>
        <tr r="Q13" s="6"/>
        <tr r="T25" s="6"/>
        <tr r="Q9" s="8"/>
        <tr r="Q2" s="10"/>
        <tr r="Q10" s="10"/>
        <tr r="Q10" s="9"/>
        <tr r="S35" s="10"/>
        <tr r="Q10" s="8"/>
        <tr r="Q8" s="9"/>
        <tr r="Q12" s="7"/>
        <tr r="Q8" s="11"/>
        <tr r="T26" s="6"/>
        <tr r="Q11" s="6"/>
        <tr r="Q5" s="6"/>
        <tr r="Q7" s="9"/>
        <tr r="Q10" s="11"/>
        <tr r="Q2" s="9"/>
        <tr r="Q6" s="8"/>
        <tr r="Q8" s="7"/>
        <tr r="Q6" s="11"/>
        <tr r="S35" s="9"/>
        <tr r="Q12" s="6"/>
        <tr r="Q4" s="6"/>
        <tr r="T31" s="6"/>
        <tr r="Q5" s="9"/>
        <tr r="Q4" s="7"/>
        <tr r="Q11" s="10"/>
        <tr r="Q2" s="11"/>
        <tr r="Q13" s="8"/>
        <tr r="Q5" s="11"/>
        <tr r="Q13" s="9"/>
        <tr r="Q4" s="8"/>
        <tr r="Q3" s="10"/>
        <tr r="Q5" s="7"/>
        <tr r="Q3" s="11"/>
        <tr r="Q10" s="6"/>
        <tr r="T34" s="6"/>
        <tr r="T21" s="6"/>
        <tr r="S35" s="8"/>
        <tr r="Q4" s="9"/>
        <tr r="Q9" s="7"/>
        <tr r="Q11" s="9"/>
        <tr r="Q13" s="10"/>
        <tr r="Q6" s="9"/>
        <tr r="Q12" s="11"/>
        <tr r="Q7" s="6"/>
        <tr r="T32" s="6"/>
        <tr r="Q8" s="8"/>
        <tr r="Q6" s="10"/>
        <tr r="Q7" s="8"/>
        <tr r="Q4" s="10"/>
        <tr r="Q3" s="7"/>
        <tr r="Q4" s="11"/>
        <tr r="Q7" s="11"/>
        <tr r="Q6" s="7"/>
        <tr r="S35" s="11"/>
        <tr r="Q9" s="9"/>
        <tr r="Q13" s="11"/>
        <tr r="Q9" s="11"/>
        <tr r="Q12" s="8"/>
        <tr r="Q13" s="7"/>
        <tr r="Q8" s="6"/>
        <tr r="T27" s="6"/>
        <tr r="T33" s="6"/>
        <tr r="Q11" s="11"/>
        <tr r="Q6" s="6"/>
        <tr r="Q9" s="6"/>
      </tp>
      <tp t="s">
        <v>ZSEU25</v>
        <stp/>
        <stp>ContractData</stp>
        <stp>ZSE?7</stp>
        <stp>Symbol</stp>
        <tr r="Q8" s="10"/>
        <tr r="Q8" s="10"/>
        <tr r="T29" s="6"/>
        <tr r="T29" s="6"/>
        <tr r="Q8" s="9"/>
        <tr r="Q8" s="9"/>
        <tr r="Q8" s="11"/>
        <tr r="Q8" s="11"/>
        <tr r="Q8" s="7"/>
        <tr r="Q8" s="7"/>
        <tr r="Q8" s="8"/>
        <tr r="Q8" s="8"/>
        <tr r="Q8" s="6"/>
        <tr r="Q8" s="6"/>
      </tp>
      <tp t="s">
        <v>ZSEQ25</v>
        <stp/>
        <stp>ContractData</stp>
        <stp>ZSE?6</stp>
        <stp>Symbol</stp>
        <tr r="Q7" s="7"/>
        <tr r="Q7" s="7"/>
        <tr r="Q7" s="10"/>
        <tr r="Q7" s="10"/>
        <tr r="T28" s="6"/>
        <tr r="T28" s="6"/>
        <tr r="Q7" s="9"/>
        <tr r="Q7" s="9"/>
        <tr r="Q7" s="6"/>
        <tr r="Q7" s="6"/>
        <tr r="Q7" s="8"/>
        <tr r="Q7" s="8"/>
        <tr r="Q7" s="11"/>
        <tr r="Q7" s="11"/>
      </tp>
      <tp t="s">
        <v>ZSEN25</v>
        <stp/>
        <stp>ContractData</stp>
        <stp>ZSE?5</stp>
        <stp>Symbol</stp>
        <tr r="Q6" s="8"/>
        <tr r="Q6" s="8"/>
        <tr r="Q6" s="11"/>
        <tr r="Q6" s="11"/>
        <tr r="Q6" s="9"/>
        <tr r="Q6" s="9"/>
        <tr r="Q6" s="10"/>
        <tr r="Q6" s="10"/>
        <tr r="Q6" s="7"/>
        <tr r="Q6" s="7"/>
        <tr r="T27" s="6"/>
        <tr r="T27" s="6"/>
        <tr r="Q6" s="6"/>
        <tr r="Q6" s="6"/>
      </tp>
      <tp t="s">
        <v>ZSEK25</v>
        <stp/>
        <stp>ContractData</stp>
        <stp>ZSE?4</stp>
        <stp>Symbol</stp>
        <tr r="Q5" s="8"/>
        <tr r="Q5" s="8"/>
        <tr r="Q5" s="10"/>
        <tr r="Q5" s="10"/>
        <tr r="T26" s="6"/>
        <tr r="T26" s="6"/>
        <tr r="Q5" s="6"/>
        <tr r="Q5" s="6"/>
        <tr r="Q5" s="9"/>
        <tr r="Q5" s="9"/>
        <tr r="Q5" s="11"/>
        <tr r="Q5" s="11"/>
        <tr r="Q5" s="7"/>
        <tr r="Q5" s="7"/>
      </tp>
      <tp>
        <v>1067.25</v>
        <stp/>
        <stp>ContractData</stp>
        <stp>ZSEQ25</stp>
        <stp>Open</stp>
        <stp/>
        <stp>T</stp>
        <tr r="C18" s="2"/>
      </tp>
      <tp>
        <v>9754</v>
        <stp/>
        <stp>ContractData</stp>
        <stp>ZSEN25</stp>
        <stp>T_CVol</stp>
        <tr r="I17" s="2"/>
      </tp>
      <tp>
        <v>518</v>
        <stp/>
        <stp>ContractData</stp>
        <stp>ZSEN26</stp>
        <stp>T_CVol</stp>
        <tr r="I24" s="2"/>
      </tp>
      <tp>
        <v>26165</v>
        <stp/>
        <stp>ContractData</stp>
        <stp>ZSEH25</stp>
        <stp>T_CVol</stp>
        <tr r="I15" s="2"/>
      </tp>
      <tp>
        <v>1087</v>
        <stp/>
        <stp>ContractData</stp>
        <stp>ZSEH26</stp>
        <stp>T_CVol</stp>
        <tr r="I22" s="2"/>
      </tp>
      <tp>
        <v>10836</v>
        <stp/>
        <stp>ContractData</stp>
        <stp>ZSEK25</stp>
        <stp>T_CVol</stp>
        <tr r="I16" s="2"/>
      </tp>
      <tp>
        <v>310</v>
        <stp/>
        <stp>ContractData</stp>
        <stp>ZSEK26</stp>
        <stp>T_CVol</stp>
        <tr r="I23" s="2"/>
      </tp>
      <tp>
        <v>70371</v>
        <stp/>
        <stp>ContractData</stp>
        <stp>ZSEF25</stp>
        <stp>T_CVol</stp>
        <tr r="I14" s="2"/>
      </tp>
      <tp>
        <v>709</v>
        <stp/>
        <stp>ContractData</stp>
        <stp>ZSEF26</stp>
        <stp>T_CVol</stp>
        <tr r="I21" s="2"/>
      </tp>
      <tp>
        <v>86</v>
        <stp/>
        <stp>ContractData</stp>
        <stp>ZSEX24</stp>
        <stp>T_CVol</stp>
        <tr r="I13" s="2"/>
      </tp>
      <tp>
        <v>6763</v>
        <stp/>
        <stp>ContractData</stp>
        <stp>ZSEX25</stp>
        <stp>T_CVol</stp>
        <tr r="I20" s="2"/>
      </tp>
      <tp>
        <v>1278</v>
        <stp/>
        <stp>ContractData</stp>
        <stp>ZSEU25</stp>
        <stp>T_CVol</stp>
        <tr r="I19" s="2"/>
      </tp>
      <tp>
        <v>1405</v>
        <stp/>
        <stp>ContractData</stp>
        <stp>ZSEQ25</stp>
        <stp>T_CVol</stp>
        <tr r="I18" s="2"/>
      </tp>
      <tp>
        <v>1059</v>
        <stp/>
        <stp>ContractData</stp>
        <stp>ZSEU25</stp>
        <stp>High</stp>
        <stp/>
        <stp>T</stp>
        <tr r="D19" s="2"/>
      </tp>
      <tp>
        <v>1054</v>
        <stp/>
        <stp>ContractData</stp>
        <stp>ZSEU25</stp>
        <stp>Open</stp>
        <stp/>
        <stp>T</stp>
        <tr r="C19" s="2"/>
      </tp>
      <tp>
        <v>1075.25</v>
        <stp/>
        <stp>ContractData</stp>
        <stp>ZSEQ25</stp>
        <stp>High</stp>
        <stp/>
        <stp>T</stp>
        <tr r="D18" s="2"/>
      </tp>
      <tp t="s">
        <v>ZSES3Q25</v>
        <stp/>
        <stp>ContractData</stp>
        <stp>ZSES3??6</stp>
        <stp>Symbol</stp>
        <stp/>
        <stp>T</stp>
        <tr r="M21" s="8"/>
      </tp>
      <tp t="s">
        <v>ZSES2Q25</v>
        <stp/>
        <stp>ContractData</stp>
        <stp>ZSES2??6</stp>
        <stp>Symbol</stp>
        <stp/>
        <stp>T</stp>
        <tr r="M21" s="7"/>
      </tp>
      <tp t="s">
        <v>ZSES1Q25</v>
        <stp/>
        <stp>ContractData</stp>
        <stp>ZSES1??6</stp>
        <stp>Symbol</stp>
        <stp/>
        <stp>T</stp>
        <tr r="M21" s="6"/>
      </tp>
      <tp t="s">
        <v>ZSES6Q25</v>
        <stp/>
        <stp>ContractData</stp>
        <stp>ZSES6??6</stp>
        <stp>Symbol</stp>
        <stp/>
        <stp>T</stp>
        <tr r="M21" s="11"/>
      </tp>
      <tp t="s">
        <v>ZSES5Q25</v>
        <stp/>
        <stp>ContractData</stp>
        <stp>ZSES5??6</stp>
        <stp>Symbol</stp>
        <stp/>
        <stp>T</stp>
        <tr r="M21" s="10"/>
      </tp>
      <tp t="s">
        <v>ZSES4Q25</v>
        <stp/>
        <stp>ContractData</stp>
        <stp>ZSES4??6</stp>
        <stp>Symbol</stp>
        <stp/>
        <stp>T</stp>
        <tr r="M21" s="9"/>
      </tp>
      <tp>
        <v>1078</v>
        <stp/>
        <stp>ContractData</stp>
        <stp>ZSEN25</stp>
        <stp>High</stp>
        <stp/>
        <stp>T</stp>
        <tr r="D17" s="2"/>
      </tp>
      <tp>
        <v>1075</v>
        <stp/>
        <stp>ContractData</stp>
        <stp>ZSEN26</stp>
        <stp>High</stp>
        <stp/>
        <stp>T</stp>
        <tr r="D24" s="2"/>
      </tp>
      <tp t="s">
        <v>ZSES3U25</v>
        <stp/>
        <stp>ContractData</stp>
        <stp>ZSES3??7</stp>
        <stp>Symbol</stp>
        <stp/>
        <stp>T</stp>
        <tr r="M22" s="8"/>
      </tp>
      <tp t="s">
        <v>ZSES2U25</v>
        <stp/>
        <stp>ContractData</stp>
        <stp>ZSES2??7</stp>
        <stp>Symbol</stp>
        <stp/>
        <stp>T</stp>
        <tr r="M22" s="7"/>
      </tp>
      <tp t="s">
        <v>ZSES1U25</v>
        <stp/>
        <stp>ContractData</stp>
        <stp>ZSES1??7</stp>
        <stp>Symbol</stp>
        <stp/>
        <stp>T</stp>
        <tr r="M22" s="6"/>
      </tp>
      <tp t="s">
        <v>ZSES6U25</v>
        <stp/>
        <stp>ContractData</stp>
        <stp>ZSES6??7</stp>
        <stp>Symbol</stp>
        <stp/>
        <stp>T</stp>
        <tr r="M22" s="11"/>
      </tp>
      <tp t="s">
        <v>ZSES5U25</v>
        <stp/>
        <stp>ContractData</stp>
        <stp>ZSES5??7</stp>
        <stp>Symbol</stp>
        <stp/>
        <stp>T</stp>
        <tr r="M22" s="10"/>
      </tp>
      <tp t="s">
        <v>ZSES4U25</v>
        <stp/>
        <stp>ContractData</stp>
        <stp>ZSES4??7</stp>
        <stp>Symbol</stp>
        <stp/>
        <stp>T</stp>
        <tr r="M22" s="9"/>
      </tp>
      <tp>
        <v>1062</v>
        <stp/>
        <stp>ContractData</stp>
        <stp>ZSEH26</stp>
        <stp>Open</stp>
        <stp/>
        <stp>T</stp>
        <tr r="C22" s="2"/>
      </tp>
      <tp>
        <v>1043.5</v>
        <stp/>
        <stp>ContractData</stp>
        <stp>ZSEH25</stp>
        <stp>Open</stp>
        <stp/>
        <stp>T</stp>
        <tr r="C15" s="2"/>
      </tp>
      <tp t="s">
        <v>ZSES3K25</v>
        <stp/>
        <stp>ContractData</stp>
        <stp>ZSES3??4</stp>
        <stp>Symbol</stp>
        <stp/>
        <stp>T</stp>
        <tr r="M19" s="8"/>
      </tp>
      <tp t="s">
        <v>ZSES2K25</v>
        <stp/>
        <stp>ContractData</stp>
        <stp>ZSES2??4</stp>
        <stp>Symbol</stp>
        <stp/>
        <stp>T</stp>
        <tr r="M19" s="7"/>
      </tp>
      <tp t="s">
        <v>ZSES1K25</v>
        <stp/>
        <stp>ContractData</stp>
        <stp>ZSES1??4</stp>
        <stp>Symbol</stp>
        <stp/>
        <stp>T</stp>
        <tr r="M19" s="6"/>
      </tp>
      <tp t="s">
        <v>ZSES6K25</v>
        <stp/>
        <stp>ContractData</stp>
        <stp>ZSES6??4</stp>
        <stp>Symbol</stp>
        <stp/>
        <stp>T</stp>
        <tr r="M19" s="11"/>
      </tp>
      <tp t="s">
        <v>ZSES5K25</v>
        <stp/>
        <stp>ContractData</stp>
        <stp>ZSES5??4</stp>
        <stp>Symbol</stp>
        <stp/>
        <stp>T</stp>
        <tr r="M19" s="10"/>
      </tp>
      <tp t="s">
        <v>ZSES4K25</v>
        <stp/>
        <stp>ContractData</stp>
        <stp>ZSES4??4</stp>
        <stp>Symbol</stp>
        <stp/>
        <stp>T</stp>
        <tr r="M19" s="9"/>
      </tp>
      <tp>
        <v>1067.75</v>
        <stp/>
        <stp>ContractData</stp>
        <stp>ZSEK26</stp>
        <stp>Open</stp>
        <stp/>
        <stp>T</stp>
        <tr r="C23" s="2"/>
      </tp>
      <tp>
        <v>1056.75</v>
        <stp/>
        <stp>ContractData</stp>
        <stp>ZSEK25</stp>
        <stp>Open</stp>
        <stp/>
        <stp>T</stp>
        <tr r="C16" s="2"/>
      </tp>
      <tp t="s">
        <v>ZSES3N25</v>
        <stp/>
        <stp>ContractData</stp>
        <stp>ZSES3??5</stp>
        <stp>Symbol</stp>
        <stp/>
        <stp>T</stp>
        <tr r="M20" s="8"/>
      </tp>
      <tp t="s">
        <v>ZSES2N25</v>
        <stp/>
        <stp>ContractData</stp>
        <stp>ZSES2??5</stp>
        <stp>Symbol</stp>
        <stp/>
        <stp>T</stp>
        <tr r="M20" s="7"/>
      </tp>
      <tp t="s">
        <v>ZSES1N25</v>
        <stp/>
        <stp>ContractData</stp>
        <stp>ZSES1??5</stp>
        <stp>Symbol</stp>
        <stp/>
        <stp>T</stp>
        <tr r="M20" s="6"/>
      </tp>
      <tp t="s">
        <v>ZSES6N25</v>
        <stp/>
        <stp>ContractData</stp>
        <stp>ZSES6??5</stp>
        <stp>Symbol</stp>
        <stp/>
        <stp>T</stp>
        <tr r="M20" s="11"/>
      </tp>
      <tp t="s">
        <v>ZSES5N25</v>
        <stp/>
        <stp>ContractData</stp>
        <stp>ZSES5??5</stp>
        <stp>Symbol</stp>
        <stp/>
        <stp>T</stp>
        <tr r="M20" s="10"/>
      </tp>
      <tp t="s">
        <v>ZSES4N25</v>
        <stp/>
        <stp>ContractData</stp>
        <stp>ZSES4??5</stp>
        <stp>Symbol</stp>
        <stp/>
        <stp>T</stp>
        <tr r="M20" s="9"/>
      </tp>
      <tp>
        <v>260</v>
        <stp/>
        <stp>ContractData</stp>
        <stp>ZSES1Q5</stp>
        <stp>T_CVol</stp>
        <tr r="AB127" s="2"/>
      </tp>
      <tp>
        <v>356</v>
        <stp/>
        <stp>ContractData</stp>
        <stp>ZSES1U5</stp>
        <stp>T_CVol</stp>
        <tr r="AB128" s="2"/>
      </tp>
      <tp>
        <v>83</v>
        <stp/>
        <stp>ContractData</stp>
        <stp>ZSES1X4</stp>
        <stp>T_CVol</stp>
        <tr r="AB122" s="2"/>
      </tp>
      <tp>
        <v>9573</v>
        <stp/>
        <stp>ContractData</stp>
        <stp>ZSES1F5</stp>
        <stp>T_CVol</stp>
        <tr r="AB123" s="2"/>
      </tp>
      <tp>
        <v>3035</v>
        <stp/>
        <stp>ContractData</stp>
        <stp>ZSES1H5</stp>
        <stp>T_CVol</stp>
        <tr r="AB124" s="2"/>
      </tp>
      <tp>
        <v>2055</v>
        <stp/>
        <stp>ContractData</stp>
        <stp>ZSES1K5</stp>
        <stp>T_CVol</stp>
        <tr r="AB125" s="2"/>
      </tp>
      <tp>
        <v>419</v>
        <stp/>
        <stp>ContractData</stp>
        <stp>ZSES1N5</stp>
        <stp>T_CVol</stp>
        <tr r="AB126" s="2"/>
      </tp>
      <tp t="s">
        <v>ZSES3F25</v>
        <stp/>
        <stp>ContractData</stp>
        <stp>ZSES3??2</stp>
        <stp>Symbol</stp>
        <stp/>
        <stp>T</stp>
        <tr r="M17" s="8"/>
      </tp>
      <tp t="s">
        <v>ZSES2F25</v>
        <stp/>
        <stp>ContractData</stp>
        <stp>ZSES2??2</stp>
        <stp>Symbol</stp>
        <stp/>
        <stp>T</stp>
        <tr r="M17" s="7"/>
      </tp>
      <tp t="s">
        <v>ZSES1F25</v>
        <stp/>
        <stp>ContractData</stp>
        <stp>ZSES1??2</stp>
        <stp>Symbol</stp>
        <stp/>
        <stp>T</stp>
        <tr r="M17" s="6"/>
      </tp>
      <tp t="s">
        <v>ZSES6F25</v>
        <stp/>
        <stp>ContractData</stp>
        <stp>ZSES6??2</stp>
        <stp>Symbol</stp>
        <stp/>
        <stp>T</stp>
        <tr r="M17" s="11"/>
      </tp>
      <tp t="s">
        <v>ZSES5F25</v>
        <stp/>
        <stp>ContractData</stp>
        <stp>ZSES5??2</stp>
        <stp>Symbol</stp>
        <stp/>
        <stp>T</stp>
        <tr r="M17" s="10"/>
      </tp>
      <tp t="s">
        <v>ZSES4F25</v>
        <stp/>
        <stp>ContractData</stp>
        <stp>ZSES4??2</stp>
        <stp>Symbol</stp>
        <stp/>
        <stp>T</stp>
        <tr r="M17" s="9"/>
      </tp>
      <tp t="s">
        <v>ZSES3H25</v>
        <stp/>
        <stp>ContractData</stp>
        <stp>ZSES3??3</stp>
        <stp>Symbol</stp>
        <stp/>
        <stp>T</stp>
        <tr r="M18" s="8"/>
      </tp>
      <tp t="s">
        <v>ZSES2H25</v>
        <stp/>
        <stp>ContractData</stp>
        <stp>ZSES2??3</stp>
        <stp>Symbol</stp>
        <stp/>
        <stp>T</stp>
        <tr r="M18" s="7"/>
      </tp>
      <tp t="s">
        <v>ZSES1H25</v>
        <stp/>
        <stp>ContractData</stp>
        <stp>ZSES1??3</stp>
        <stp>Symbol</stp>
        <stp/>
        <stp>T</stp>
        <tr r="M18" s="6"/>
      </tp>
      <tp t="s">
        <v>ZSES6H25</v>
        <stp/>
        <stp>ContractData</stp>
        <stp>ZSES6??3</stp>
        <stp>Symbol</stp>
        <stp/>
        <stp>T</stp>
        <tr r="M18" s="11"/>
      </tp>
      <tp t="s">
        <v>ZSES5H25</v>
        <stp/>
        <stp>ContractData</stp>
        <stp>ZSES5??3</stp>
        <stp>Symbol</stp>
        <stp/>
        <stp>T</stp>
        <tr r="M18" s="10"/>
      </tp>
      <tp t="s">
        <v>ZSES4H25</v>
        <stp/>
        <stp>ContractData</stp>
        <stp>ZSES4??3</stp>
        <stp>Symbol</stp>
        <stp/>
        <stp>T</stp>
        <tr r="M18" s="9"/>
      </tp>
      <tp>
        <v>1067.25</v>
        <stp/>
        <stp>ContractData</stp>
        <stp>ZSEK25</stp>
        <stp>High</stp>
        <stp/>
        <stp>T</stp>
        <tr r="D16" s="2"/>
      </tp>
      <tp>
        <v>1067.75</v>
        <stp/>
        <stp>ContractData</stp>
        <stp>ZSEK26</stp>
        <stp>High</stp>
        <stp/>
        <stp>T</stp>
        <tr r="D23" s="2"/>
      </tp>
      <tp>
        <v>1054.75</v>
        <stp/>
        <stp>ContractData</stp>
        <stp>ZSEH25</stp>
        <stp>High</stp>
        <stp/>
        <stp>T</stp>
        <tr r="D15" s="2"/>
      </tp>
      <tp>
        <v>1062</v>
        <stp/>
        <stp>ContractData</stp>
        <stp>ZSEH26</stp>
        <stp>High</stp>
        <stp/>
        <stp>T</stp>
        <tr r="D22" s="2"/>
      </tp>
      <tp t="s">
        <v>ZSES3X24</v>
        <stp/>
        <stp>ContractData</stp>
        <stp>ZSES3??1</stp>
        <stp>Symbol</stp>
        <stp/>
        <stp>T</stp>
        <tr r="M16" s="8"/>
      </tp>
      <tp t="s">
        <v>ZSES2X24</v>
        <stp/>
        <stp>ContractData</stp>
        <stp>ZSES2??1</stp>
        <stp>Symbol</stp>
        <stp/>
        <stp>T</stp>
        <tr r="M16" s="7"/>
      </tp>
      <tp t="s">
        <v>ZSES1X24</v>
        <stp/>
        <stp>ContractData</stp>
        <stp>ZSES1??1</stp>
        <stp>Symbol</stp>
        <stp/>
        <stp>T</stp>
        <tr r="M16" s="6"/>
      </tp>
      <tp t="s">
        <v>ZSES6X24</v>
        <stp/>
        <stp>ContractData</stp>
        <stp>ZSES6??1</stp>
        <stp>Symbol</stp>
        <stp/>
        <stp>T</stp>
        <tr r="M16" s="11"/>
      </tp>
      <tp t="s">
        <v>ZSES5X24</v>
        <stp/>
        <stp>ContractData</stp>
        <stp>ZSES5??1</stp>
        <stp>Symbol</stp>
        <stp/>
        <stp>T</stp>
        <tr r="M16" s="10"/>
      </tp>
      <tp t="s">
        <v>ZSES4X24</v>
        <stp/>
        <stp>ContractData</stp>
        <stp>ZSES4??1</stp>
        <stp>Symbol</stp>
        <stp/>
        <stp>T</stp>
        <tr r="M16" s="9"/>
      </tp>
      <tp>
        <v>1074.5</v>
        <stp/>
        <stp>ContractData</stp>
        <stp>ZSEN26</stp>
        <stp>Open</stp>
        <stp/>
        <stp>T</stp>
        <tr r="C24" s="2"/>
      </tp>
      <tp>
        <v>1068</v>
        <stp/>
        <stp>ContractData</stp>
        <stp>ZSEN25</stp>
        <stp>Open</stp>
        <stp/>
        <stp>T</stp>
        <tr r="C17" s="2"/>
      </tp>
      <tp t="s">
        <v>SoyBean Calendar Spread 1, (1*ZSEX25-1*ZSEF26)</v>
        <stp/>
        <stp>ContractData</stp>
        <stp>ZSES1??8</stp>
        <stp>LongDescription</stp>
        <stp/>
        <stp>T</stp>
        <tr r="N23" s="6"/>
      </tp>
      <tp t="s">
        <v>SoyBean Calendar Spread 1, (1*ZSEF26-1*ZSEH26)</v>
        <stp/>
        <stp>ContractData</stp>
        <stp>ZSES1??9</stp>
        <stp>LongDescription</stp>
        <stp/>
        <stp>T</stp>
        <tr r="N24" s="6"/>
      </tp>
      <tp t="s">
        <v>SoyBean Calendar Spread 1, (1*ZSEX24-1*ZSEF25)</v>
        <stp/>
        <stp>ContractData</stp>
        <stp>ZSES1??1</stp>
        <stp>LongDescription</stp>
        <stp/>
        <stp>T</stp>
        <tr r="N16" s="6"/>
      </tp>
      <tp t="s">
        <v>SoyBean Calendar Spread 1, (1*ZSEF25-1*ZSEH25)</v>
        <stp/>
        <stp>ContractData</stp>
        <stp>ZSES1??2</stp>
        <stp>LongDescription</stp>
        <stp/>
        <stp>T</stp>
        <tr r="N17" s="6"/>
      </tp>
      <tp t="s">
        <v>SoyBean Calendar Spread 1, (1*ZSEH25-1*ZSEK25)</v>
        <stp/>
        <stp>ContractData</stp>
        <stp>ZSES1??3</stp>
        <stp>LongDescription</stp>
        <stp/>
        <stp>T</stp>
        <tr r="N18" s="6"/>
      </tp>
      <tp t="s">
        <v>SoyBean Calendar Spread 1, (1*ZSEK25-1*ZSEN25)</v>
        <stp/>
        <stp>ContractData</stp>
        <stp>ZSES1??4</stp>
        <stp>LongDescription</stp>
        <stp/>
        <stp>T</stp>
        <tr r="N19" s="6"/>
      </tp>
      <tp t="s">
        <v>SoyBean Calendar Spread 1, (1*ZSEN25-1*ZSEQ25)</v>
        <stp/>
        <stp>ContractData</stp>
        <stp>ZSES1??5</stp>
        <stp>LongDescription</stp>
        <stp/>
        <stp>T</stp>
        <tr r="N20" s="6"/>
      </tp>
      <tp t="s">
        <v>SoyBean Calendar Spread 1, (1*ZSEQ25-1*ZSEU25)</v>
        <stp/>
        <stp>ContractData</stp>
        <stp>ZSES1??6</stp>
        <stp>LongDescription</stp>
        <stp/>
        <stp>T</stp>
        <tr r="N21" s="6"/>
      </tp>
      <tp t="s">
        <v>SoyBean Calendar Spread 1, (1*ZSEU25-1*ZSEX25)</v>
        <stp/>
        <stp>ContractData</stp>
        <stp>ZSES1??7</stp>
        <stp>LongDescription</stp>
        <stp/>
        <stp>T</stp>
        <tr r="N22" s="6"/>
      </tp>
      <tp t="s">
        <v>SoyBean Calendar Spread 1, (1*ZSEQ25-1*ZSEU25)</v>
        <stp/>
        <stp>ContractData</stp>
        <stp>ZSES1Q25</stp>
        <stp>LongDescription</stp>
        <stp/>
        <stp>T</stp>
        <tr r="B34" s="2"/>
        <tr r="B34" s="2"/>
      </tp>
      <tp t="s">
        <v>SoyBean Calendar Spread 1, (1*ZSEU25-1*ZSEX25)</v>
        <stp/>
        <stp>ContractData</stp>
        <stp>ZSES1U25</stp>
        <stp>LongDescription</stp>
        <stp/>
        <stp>T</stp>
        <tr r="B35" s="2"/>
        <tr r="B35" s="2"/>
      </tp>
      <tp t="s">
        <v>SoyBean Calendar Spread 1, (1*ZSEX24-1*ZSEF25)</v>
        <stp/>
        <stp>ContractData</stp>
        <stp>ZSES1X24</stp>
        <stp>LongDescription</stp>
        <stp/>
        <stp>T</stp>
        <tr r="B29" s="2"/>
        <tr r="B29" s="2"/>
      </tp>
      <tp t="s">
        <v>SoyBean Calendar Spread 1, (1*ZSEX25-1*ZSEF26)</v>
        <stp/>
        <stp>ContractData</stp>
        <stp>ZSES1X25</stp>
        <stp>LongDescription</stp>
        <stp/>
        <stp>T</stp>
        <tr r="B36" s="2"/>
        <tr r="B36" s="2"/>
      </tp>
      <tp t="s">
        <v>SoyBean Calendar Spread 1, (1*ZSEF25-1*ZSEH25)</v>
        <stp/>
        <stp>ContractData</stp>
        <stp>ZSES1F25</stp>
        <stp>LongDescription</stp>
        <stp/>
        <stp>T</stp>
        <tr r="B30" s="2"/>
        <tr r="B30" s="2"/>
      </tp>
      <tp t="s">
        <v>SoyBean Calendar Spread 1, (1*ZSEF26-1*ZSEH26)</v>
        <stp/>
        <stp>ContractData</stp>
        <stp>ZSES1F26</stp>
        <stp>LongDescription</stp>
        <stp/>
        <stp>T</stp>
        <tr r="B37" s="2"/>
        <tr r="B37" s="2"/>
      </tp>
      <tp t="s">
        <v>SoyBean Calendar Spread 1, (1*ZSEH25-1*ZSEK25)</v>
        <stp/>
        <stp>ContractData</stp>
        <stp>ZSES1H25</stp>
        <stp>LongDescription</stp>
        <stp/>
        <stp>T</stp>
        <tr r="B31" s="2"/>
        <tr r="B31" s="2"/>
      </tp>
      <tp t="s">
        <v>SoyBean Calendar Spread 1, (1*ZSEH26-1*ZSEK26)</v>
        <stp/>
        <stp>ContractData</stp>
        <stp>ZSES1H26</stp>
        <stp>LongDescription</stp>
        <stp/>
        <stp>T</stp>
        <tr r="B38" s="2"/>
        <tr r="B38" s="2"/>
      </tp>
      <tp t="s">
        <v>SoyBean Calendar Spread 1, (1*ZSEK25-1*ZSEN25)</v>
        <stp/>
        <stp>ContractData</stp>
        <stp>ZSES1K25</stp>
        <stp>LongDescription</stp>
        <stp/>
        <stp>T</stp>
        <tr r="B32" s="2"/>
        <tr r="B32" s="2"/>
      </tp>
      <tp t="s">
        <v>SoyBean Calendar Spread 1, (1*ZSEK26-1*ZSEN26)</v>
        <stp/>
        <stp>ContractData</stp>
        <stp>ZSES1K26</stp>
        <stp>LongDescription</stp>
        <stp/>
        <stp>T</stp>
        <tr r="B39" s="2"/>
        <tr r="B39" s="2"/>
      </tp>
      <tp t="s">
        <v>SoyBean Calendar Spread 1, (1*ZSEN25-1*ZSEQ25)</v>
        <stp/>
        <stp>ContractData</stp>
        <stp>ZSES1N25</stp>
        <stp>LongDescription</stp>
        <stp/>
        <stp>T</stp>
        <tr r="B33" s="2"/>
        <tr r="B33" s="2"/>
      </tp>
      <tp t="s">
        <v>SoyBean Calendar Spread 1, (1*ZSEN26-1*ZSEQ26)</v>
        <stp/>
        <stp>ContractData</stp>
        <stp>ZSES1N26</stp>
        <stp>LongDescription</stp>
        <stp/>
        <stp>T</stp>
        <tr r="B40" s="2"/>
        <tr r="B40" s="2"/>
      </tp>
      <tp>
        <v>1042.25</v>
        <stp/>
        <stp>ContractData</stp>
        <stp>ZSEF25</stp>
        <stp>High</stp>
        <stp/>
        <stp>T</stp>
        <tr r="D14" s="2"/>
      </tp>
      <tp>
        <v>1064</v>
        <stp/>
        <stp>ContractData</stp>
        <stp>ZSEF26</stp>
        <stp>High</stp>
        <stp/>
        <stp>T</stp>
        <tr r="D21" s="2"/>
      </tp>
      <tp t="s">
        <v>Soybean Calendar Spread 3, (1*ZSEQ25-1*ZSEF26)</v>
        <stp/>
        <stp>ContractData</stp>
        <stp>ZSES3Q25</stp>
        <stp>LongDescription</stp>
        <stp/>
        <stp>T</stp>
        <tr r="B66" s="2"/>
        <tr r="B66" s="2"/>
      </tp>
      <tp t="s">
        <v>Soybean Calendar Spread 3, (1*ZSEU25-1*ZSEH26)</v>
        <stp/>
        <stp>ContractData</stp>
        <stp>ZSES3U25</stp>
        <stp>LongDescription</stp>
        <stp/>
        <stp>T</stp>
        <tr r="B67" s="2"/>
        <tr r="B67" s="2"/>
      </tp>
      <tp t="s">
        <v>Soybean Calendar Spread 3, (1*ZSEX24-1*ZSEK25)</v>
        <stp/>
        <stp>ContractData</stp>
        <stp>ZSES3X24</stp>
        <stp>LongDescription</stp>
        <stp/>
        <stp>T</stp>
        <tr r="B61" s="2"/>
        <tr r="B61" s="2"/>
      </tp>
      <tp t="s">
        <v>Soybean Calendar Spread 3, (1*ZSEX25-1*ZSEK26)</v>
        <stp/>
        <stp>ContractData</stp>
        <stp>ZSES3X25</stp>
        <stp>LongDescription</stp>
        <stp/>
        <stp>T</stp>
        <tr r="B68" s="2"/>
        <tr r="B68" s="2"/>
      </tp>
      <tp t="s">
        <v>Soybean Calendar Spread 3, (1*ZSEF25-1*ZSEN25)</v>
        <stp/>
        <stp>ContractData</stp>
        <stp>ZSES3F25</stp>
        <stp>LongDescription</stp>
        <stp/>
        <stp>T</stp>
        <tr r="B62" s="2"/>
        <tr r="B62" s="2"/>
      </tp>
      <tp t="s">
        <v>Soybean Calendar Spread 3, (1*ZSEF26-1*ZSEN26)</v>
        <stp/>
        <stp>ContractData</stp>
        <stp>ZSES3F26</stp>
        <stp>LongDescription</stp>
        <stp/>
        <stp>T</stp>
        <tr r="B69" s="2"/>
        <tr r="B69" s="2"/>
      </tp>
      <tp t="s">
        <v>Soybean Calendar Spread 3, (1*ZSEH25-1*ZSEQ25)</v>
        <stp/>
        <stp>ContractData</stp>
        <stp>ZSES3H25</stp>
        <stp>LongDescription</stp>
        <stp/>
        <stp>T</stp>
        <tr r="B63" s="2"/>
        <tr r="B63" s="2"/>
      </tp>
      <tp t="s">
        <v>Soybean Calendar Spread 3, (1*ZSEH26-1*ZSEQ26)</v>
        <stp/>
        <stp>ContractData</stp>
        <stp>ZSES3H26</stp>
        <stp>LongDescription</stp>
        <stp/>
        <stp>T</stp>
        <tr r="B70" s="2"/>
        <tr r="B70" s="2"/>
      </tp>
      <tp t="s">
        <v>Soybean Calendar Spread 3, (1*ZSEK25-1*ZSEU25)</v>
        <stp/>
        <stp>ContractData</stp>
        <stp>ZSES3K25</stp>
        <stp>LongDescription</stp>
        <stp/>
        <stp>T</stp>
        <tr r="B64" s="2"/>
        <tr r="B64" s="2"/>
      </tp>
      <tp t="s">
        <v>Soybean Calendar Spread 3, (1*ZSEK26-1*ZSEU26)</v>
        <stp/>
        <stp>ContractData</stp>
        <stp>ZSES3K26</stp>
        <stp>LongDescription</stp>
        <stp/>
        <stp>T</stp>
        <tr r="B71" s="2"/>
        <tr r="B71" s="2"/>
      </tp>
      <tp t="s">
        <v>Soybean Calendar Spread 3, (1*ZSEN25-1*ZSEX25)</v>
        <stp/>
        <stp>ContractData</stp>
        <stp>ZSES3N25</stp>
        <stp>LongDescription</stp>
        <stp/>
        <stp>T</stp>
        <tr r="B65" s="2"/>
        <tr r="B65" s="2"/>
      </tp>
      <tp t="s">
        <v>Soybean Calendar Spread 3, (1*ZSEN26-1*ZSEX26)</v>
        <stp/>
        <stp>ContractData</stp>
        <stp>ZSES3N26</stp>
        <stp>LongDescription</stp>
        <stp/>
        <stp>T</stp>
        <tr r="B72" s="2"/>
        <tr r="B72" s="2"/>
      </tp>
      <tp t="s">
        <v>Soybean Calendar Spread 2, (1*ZSEQ25-1*ZSEX25)</v>
        <stp/>
        <stp>ContractData</stp>
        <stp>ZSES2Q25</stp>
        <stp>LongDescription</stp>
        <stp/>
        <stp>T</stp>
        <tr r="B50" s="2"/>
        <tr r="B50" s="2"/>
      </tp>
      <tp t="s">
        <v>Soybean Calendar Spread 2, (1*ZSEU25-1*ZSEF26)</v>
        <stp/>
        <stp>ContractData</stp>
        <stp>ZSES2U25</stp>
        <stp>LongDescription</stp>
        <stp/>
        <stp>T</stp>
        <tr r="B51" s="2"/>
        <tr r="B51" s="2"/>
      </tp>
      <tp t="s">
        <v>Soybean Calendar Spread 2, (1*ZSEX24-1*ZSEH25)</v>
        <stp/>
        <stp>ContractData</stp>
        <stp>ZSES2X24</stp>
        <stp>LongDescription</stp>
        <stp/>
        <stp>T</stp>
        <tr r="B45" s="2"/>
        <tr r="B45" s="2"/>
      </tp>
      <tp t="s">
        <v>Soybean Calendar Spread 2, (1*ZSEX25-1*ZSEH26)</v>
        <stp/>
        <stp>ContractData</stp>
        <stp>ZSES2X25</stp>
        <stp>LongDescription</stp>
        <stp/>
        <stp>T</stp>
        <tr r="B52" s="2"/>
        <tr r="B52" s="2"/>
      </tp>
      <tp t="s">
        <v>Soybean Calendar Spread 2, (1*ZSEF25-1*ZSEK25)</v>
        <stp/>
        <stp>ContractData</stp>
        <stp>ZSES2F25</stp>
        <stp>LongDescription</stp>
        <stp/>
        <stp>T</stp>
        <tr r="B46" s="2"/>
        <tr r="B46" s="2"/>
      </tp>
      <tp t="s">
        <v>Soybean Calendar Spread 2, (1*ZSEF26-1*ZSEK26)</v>
        <stp/>
        <stp>ContractData</stp>
        <stp>ZSES2F26</stp>
        <stp>LongDescription</stp>
        <stp/>
        <stp>T</stp>
        <tr r="B53" s="2"/>
        <tr r="B53" s="2"/>
      </tp>
      <tp t="s">
        <v>Soybean Calendar Spread 2, (1*ZSEH25-1*ZSEN25)</v>
        <stp/>
        <stp>ContractData</stp>
        <stp>ZSES2H25</stp>
        <stp>LongDescription</stp>
        <stp/>
        <stp>T</stp>
        <tr r="B47" s="2"/>
        <tr r="B47" s="2"/>
      </tp>
      <tp t="s">
        <v>Soybean Calendar Spread 2, (1*ZSEH26-1*ZSEN26)</v>
        <stp/>
        <stp>ContractData</stp>
        <stp>ZSES2H26</stp>
        <stp>LongDescription</stp>
        <stp/>
        <stp>T</stp>
        <tr r="B54" s="2"/>
        <tr r="B54" s="2"/>
      </tp>
      <tp t="s">
        <v>Soybean Calendar Spread 2, (1*ZSEK25-1*ZSEQ25)</v>
        <stp/>
        <stp>ContractData</stp>
        <stp>ZSES2K25</stp>
        <stp>LongDescription</stp>
        <stp/>
        <stp>T</stp>
        <tr r="B48" s="2"/>
        <tr r="B48" s="2"/>
      </tp>
      <tp t="s">
        <v>Soybean Calendar Spread 2, (1*ZSEK26-1*ZSEQ26)</v>
        <stp/>
        <stp>ContractData</stp>
        <stp>ZSES2K26</stp>
        <stp>LongDescription</stp>
        <stp/>
        <stp>T</stp>
        <tr r="B55" s="2"/>
        <tr r="B55" s="2"/>
      </tp>
      <tp t="s">
        <v>Soybean Calendar Spread 2, (1*ZSEN25-1*ZSEU25)</v>
        <stp/>
        <stp>ContractData</stp>
        <stp>ZSES2N25</stp>
        <stp>LongDescription</stp>
        <stp/>
        <stp>T</stp>
        <tr r="B49" s="2"/>
        <tr r="B49" s="2"/>
      </tp>
      <tp t="s">
        <v>Soybean Calendar Spread 2, (1*ZSEN26-1*ZSEU26)</v>
        <stp/>
        <stp>ContractData</stp>
        <stp>ZSES2N26</stp>
        <stp>LongDescription</stp>
        <stp/>
        <stp>T</stp>
        <tr r="B56" s="2"/>
        <tr r="B56" s="2"/>
      </tp>
      <tp t="s">
        <v>Soybean Calendar Spread 5, (1*ZSEQ25-1*ZSEK26)</v>
        <stp/>
        <stp>ContractData</stp>
        <stp>ZSES5Q25</stp>
        <stp>LongDescription</stp>
        <stp/>
        <stp>T</stp>
        <tr r="B98" s="2"/>
        <tr r="B98" s="2"/>
      </tp>
      <tp t="s">
        <v>Soybean Calendar Spread 5, (1*ZSEU25-1*ZSEN26)</v>
        <stp/>
        <stp>ContractData</stp>
        <stp>ZSES5U25</stp>
        <stp>LongDescription</stp>
        <stp/>
        <stp>T</stp>
        <tr r="B99" s="2"/>
        <tr r="B99" s="2"/>
      </tp>
      <tp t="s">
        <v>Soybean Calendar Spread 5, (1*ZSEX24-1*ZSEQ25)</v>
        <stp/>
        <stp>ContractData</stp>
        <stp>ZSES5X24</stp>
        <stp>LongDescription</stp>
        <stp/>
        <stp>T</stp>
        <tr r="B93" s="2"/>
        <tr r="B93" s="2"/>
      </tp>
      <tp t="s">
        <v>Soybean Calendar Spread 5, (1*ZSEX25-1*ZSEQ26)</v>
        <stp/>
        <stp>ContractData</stp>
        <stp>ZSES5X25</stp>
        <stp>LongDescription</stp>
        <stp/>
        <stp>T</stp>
        <tr r="B100" s="2"/>
        <tr r="B100" s="2"/>
      </tp>
      <tp t="s">
        <v>Soybean Calendar Spread 5, (1*ZSEF25-1*ZSEU25)</v>
        <stp/>
        <stp>ContractData</stp>
        <stp>ZSES5F25</stp>
        <stp>LongDescription</stp>
        <stp/>
        <stp>T</stp>
        <tr r="B94" s="2"/>
        <tr r="B94" s="2"/>
      </tp>
      <tp t="s">
        <v>Soybean Calendar Spread 5, (1*ZSEF26-1*ZSEU26)</v>
        <stp/>
        <stp>ContractData</stp>
        <stp>ZSES5F26</stp>
        <stp>LongDescription</stp>
        <stp/>
        <stp>T</stp>
        <tr r="B101" s="2"/>
        <tr r="B101" s="2"/>
      </tp>
      <tp t="s">
        <v>Soybean Calendar Spread 5, (1*ZSEH25-1*ZSEX25)</v>
        <stp/>
        <stp>ContractData</stp>
        <stp>ZSES5H25</stp>
        <stp>LongDescription</stp>
        <stp/>
        <stp>T</stp>
        <tr r="B95" s="2"/>
        <tr r="B95" s="2"/>
      </tp>
      <tp t="s">
        <v>Soybean Calendar Spread 5, (1*ZSEH26-1*ZSEX26)</v>
        <stp/>
        <stp>ContractData</stp>
        <stp>ZSES5H26</stp>
        <stp>LongDescription</stp>
        <stp/>
        <stp>T</stp>
        <tr r="B102" s="2"/>
        <tr r="B102" s="2"/>
      </tp>
      <tp t="s">
        <v>Soybean Calendar Spread 5, (1*ZSEK25-1*ZSEF26)</v>
        <stp/>
        <stp>ContractData</stp>
        <stp>ZSES5K25</stp>
        <stp>LongDescription</stp>
        <stp/>
        <stp>T</stp>
        <tr r="B96" s="2"/>
        <tr r="B96" s="2"/>
      </tp>
      <tp t="s">
        <v>Soybean Calendar Spread 5, (1*ZSEK26-1*ZSEF27)</v>
        <stp/>
        <stp>ContractData</stp>
        <stp>ZSES5K26</stp>
        <stp>LongDescription</stp>
        <stp/>
        <stp>T</stp>
        <tr r="B103" s="2"/>
        <tr r="B103" s="2"/>
      </tp>
      <tp t="s">
        <v>Soybean Calendar Spread 5, (1*ZSEN25-1*ZSEH26)</v>
        <stp/>
        <stp>ContractData</stp>
        <stp>ZSES5N25</stp>
        <stp>LongDescription</stp>
        <stp/>
        <stp>T</stp>
        <tr r="B97" s="2"/>
        <tr r="B97" s="2"/>
      </tp>
      <tp t="s">
        <v>Soybean Calendar Spread 5, (1*ZSEN26-1*ZSEH27)</v>
        <stp/>
        <stp>ContractData</stp>
        <stp>ZSES5N26</stp>
        <stp>LongDescription</stp>
        <stp/>
        <stp>T</stp>
        <tr r="B104" s="2"/>
        <tr r="B104" s="2"/>
      </tp>
      <tp t="s">
        <v>Soybean Calendar Spread 4, (1*ZSEQ25-1*ZSEH26)</v>
        <stp/>
        <stp>ContractData</stp>
        <stp>ZSES4Q25</stp>
        <stp>LongDescription</stp>
        <stp/>
        <stp>T</stp>
        <tr r="B82" s="2"/>
        <tr r="B82" s="2"/>
      </tp>
      <tp t="s">
        <v>Soybean Calendar Spread 4, (1*ZSEU25-1*ZSEK26)</v>
        <stp/>
        <stp>ContractData</stp>
        <stp>ZSES4U25</stp>
        <stp>LongDescription</stp>
        <stp/>
        <stp>T</stp>
        <tr r="B83" s="2"/>
        <tr r="B83" s="2"/>
      </tp>
      <tp t="s">
        <v>Soybean Calendar Spread 4, (1*ZSEX24-1*ZSEN25)</v>
        <stp/>
        <stp>ContractData</stp>
        <stp>ZSES4X24</stp>
        <stp>LongDescription</stp>
        <stp/>
        <stp>T</stp>
        <tr r="B77" s="2"/>
        <tr r="B77" s="2"/>
      </tp>
      <tp t="s">
        <v>Soybean Calendar Spread 4, (1*ZSEX25-1*ZSEN26)</v>
        <stp/>
        <stp>ContractData</stp>
        <stp>ZSES4X25</stp>
        <stp>LongDescription</stp>
        <stp/>
        <stp>T</stp>
        <tr r="B84" s="2"/>
        <tr r="B84" s="2"/>
      </tp>
      <tp t="s">
        <v>Soybean Calendar Spread 4, (1*ZSEF25-1*ZSEQ25)</v>
        <stp/>
        <stp>ContractData</stp>
        <stp>ZSES4F25</stp>
        <stp>LongDescription</stp>
        <stp/>
        <stp>T</stp>
        <tr r="B78" s="2"/>
        <tr r="B78" s="2"/>
      </tp>
      <tp t="s">
        <v>Soybean Calendar Spread 4, (1*ZSEF26-1*ZSEQ26)</v>
        <stp/>
        <stp>ContractData</stp>
        <stp>ZSES4F26</stp>
        <stp>LongDescription</stp>
        <stp/>
        <stp>T</stp>
        <tr r="B85" s="2"/>
        <tr r="B85" s="2"/>
      </tp>
      <tp t="s">
        <v>Soybean Calendar Spread 4, (1*ZSEH25-1*ZSEU25)</v>
        <stp/>
        <stp>ContractData</stp>
        <stp>ZSES4H25</stp>
        <stp>LongDescription</stp>
        <stp/>
        <stp>T</stp>
        <tr r="B79" s="2"/>
        <tr r="B79" s="2"/>
      </tp>
      <tp t="s">
        <v>Soybean Calendar Spread 4, (1*ZSEH26-1*ZSEU26)</v>
        <stp/>
        <stp>ContractData</stp>
        <stp>ZSES4H26</stp>
        <stp>LongDescription</stp>
        <stp/>
        <stp>T</stp>
        <tr r="B86" s="2"/>
        <tr r="B86" s="2"/>
      </tp>
      <tp t="s">
        <v>Soybean Calendar Spread 4, (1*ZSEK25-1*ZSEX25)</v>
        <stp/>
        <stp>ContractData</stp>
        <stp>ZSES4K25</stp>
        <stp>LongDescription</stp>
        <stp/>
        <stp>T</stp>
        <tr r="B80" s="2"/>
        <tr r="B80" s="2"/>
      </tp>
      <tp t="s">
        <v>Soybean Calendar Spread 4, (1*ZSEK26-1*ZSEX26)</v>
        <stp/>
        <stp>ContractData</stp>
        <stp>ZSES4K26</stp>
        <stp>LongDescription</stp>
        <stp/>
        <stp>T</stp>
        <tr r="B87" s="2"/>
        <tr r="B87" s="2"/>
      </tp>
      <tp t="s">
        <v>Soybean Calendar Spread 4, (1*ZSEN25-1*ZSEF26)</v>
        <stp/>
        <stp>ContractData</stp>
        <stp>ZSES4N25</stp>
        <stp>LongDescription</stp>
        <stp/>
        <stp>T</stp>
        <tr r="B81" s="2"/>
        <tr r="B81" s="2"/>
      </tp>
      <tp t="s">
        <v>Soybean Calendar Spread 4, (1*ZSEN26-1*ZSEF27)</v>
        <stp/>
        <stp>ContractData</stp>
        <stp>ZSES4N26</stp>
        <stp>LongDescription</stp>
        <stp/>
        <stp>T</stp>
        <tr r="B88" s="2"/>
        <tr r="B88" s="2"/>
      </tp>
      <tp t="s">
        <v>ZSES3X25</v>
        <stp/>
        <stp>ContractData</stp>
        <stp>ZSES3??8</stp>
        <stp>Symbol</stp>
        <stp/>
        <stp>T</stp>
        <tr r="M23" s="8"/>
      </tp>
      <tp t="s">
        <v>ZSES2X25</v>
        <stp/>
        <stp>ContractData</stp>
        <stp>ZSES2??8</stp>
        <stp>Symbol</stp>
        <stp/>
        <stp>T</stp>
        <tr r="M23" s="7"/>
      </tp>
      <tp t="s">
        <v>ZSES1X25</v>
        <stp/>
        <stp>ContractData</stp>
        <stp>ZSES1??8</stp>
        <stp>Symbol</stp>
        <stp/>
        <stp>T</stp>
        <tr r="M23" s="6"/>
      </tp>
      <tp t="s">
        <v>ZSES6X25</v>
        <stp/>
        <stp>ContractData</stp>
        <stp>ZSES6??8</stp>
        <stp>Symbol</stp>
        <stp/>
        <stp>T</stp>
        <tr r="M23" s="11"/>
      </tp>
      <tp t="s">
        <v>ZSES5X25</v>
        <stp/>
        <stp>ContractData</stp>
        <stp>ZSES5??8</stp>
        <stp>Symbol</stp>
        <stp/>
        <stp>T</stp>
        <tr r="M23" s="10"/>
      </tp>
      <tp t="s">
        <v>ZSES4X25</v>
        <stp/>
        <stp>ContractData</stp>
        <stp>ZSES4??8</stp>
        <stp>Symbol</stp>
        <stp/>
        <stp>T</stp>
        <tr r="M23" s="9"/>
      </tp>
      <tp t="s">
        <v>Soybean Calendar Spread 6, (1*ZSEX24-1*ZSEU25)</v>
        <stp/>
        <stp>ContractData</stp>
        <stp>ZSES6??1</stp>
        <stp>LongDescription</stp>
        <stp/>
        <stp>T</stp>
        <tr r="J29" s="11"/>
      </tp>
      <tp t="s">
        <v>Soybean Calendar Spread 6, (1*ZSEQ25-1*ZSEN26)</v>
        <stp/>
        <stp>ContractData</stp>
        <stp>ZSES6Q25</stp>
        <stp>LongDescription</stp>
        <stp/>
        <stp>T</stp>
        <tr r="B114" s="2"/>
        <tr r="B114" s="2"/>
      </tp>
      <tp t="s">
        <v>Soybean Calendar Spread 6, (1*ZSEU25-1*ZSEQ26)</v>
        <stp/>
        <stp>ContractData</stp>
        <stp>ZSES6U25</stp>
        <stp>LongDescription</stp>
        <stp/>
        <stp>T</stp>
        <tr r="B115" s="2"/>
        <tr r="B115" s="2"/>
      </tp>
      <tp t="s">
        <v>Soybean Calendar Spread 6, (1*ZSEX24-1*ZSEU25)</v>
        <stp/>
        <stp>ContractData</stp>
        <stp>ZSES6X24</stp>
        <stp>LongDescription</stp>
        <stp/>
        <stp>T</stp>
        <tr r="B109" s="2"/>
        <tr r="B109" s="2"/>
      </tp>
      <tp t="s">
        <v>Soybean Calendar Spread 6, (1*ZSEX25-1*ZSEU26)</v>
        <stp/>
        <stp>ContractData</stp>
        <stp>ZSES6X25</stp>
        <stp>LongDescription</stp>
        <stp/>
        <stp>T</stp>
        <tr r="B116" s="2"/>
        <tr r="B116" s="2"/>
      </tp>
      <tp t="s">
        <v>Soybean Calendar Spread 6, (1*ZSEF25-1*ZSEX25)</v>
        <stp/>
        <stp>ContractData</stp>
        <stp>ZSES6F25</stp>
        <stp>LongDescription</stp>
        <stp/>
        <stp>T</stp>
        <tr r="B110" s="2"/>
        <tr r="B110" s="2"/>
      </tp>
      <tp t="s">
        <v>Soybean Calendar Spread 6, (1*ZSEF26-1*ZSEX26)</v>
        <stp/>
        <stp>ContractData</stp>
        <stp>ZSES6F26</stp>
        <stp>LongDescription</stp>
        <stp/>
        <stp>T</stp>
        <tr r="B117" s="2"/>
        <tr r="B117" s="2"/>
      </tp>
      <tp t="s">
        <v>Soybean Calendar Spread 6, (1*ZSEH25-1*ZSEF26)</v>
        <stp/>
        <stp>ContractData</stp>
        <stp>ZSES6H25</stp>
        <stp>LongDescription</stp>
        <stp/>
        <stp>T</stp>
        <tr r="B111" s="2"/>
        <tr r="B111" s="2"/>
      </tp>
      <tp t="s">
        <v>Soybean Calendar Spread 6, (1*ZSEH26-1*ZSEF27)</v>
        <stp/>
        <stp>ContractData</stp>
        <stp>ZSES6H26</stp>
        <stp>LongDescription</stp>
        <stp/>
        <stp>T</stp>
        <tr r="B118" s="2"/>
        <tr r="B118" s="2"/>
      </tp>
      <tp t="s">
        <v>Soybean Calendar Spread 6, (1*ZSEK25-1*ZSEH26)</v>
        <stp/>
        <stp>ContractData</stp>
        <stp>ZSES6K25</stp>
        <stp>LongDescription</stp>
        <stp/>
        <stp>T</stp>
        <tr r="B112" s="2"/>
        <tr r="B112" s="2"/>
      </tp>
      <tp t="s">
        <v>Soybean Calendar Spread 6, (1*ZSEK26-1*ZSEH27)</v>
        <stp/>
        <stp>ContractData</stp>
        <stp>ZSES6K26</stp>
        <stp>LongDescription</stp>
        <stp/>
        <stp>T</stp>
        <tr r="B119" s="2"/>
        <tr r="B119" s="2"/>
      </tp>
      <tp t="s">
        <v>Soybean Calendar Spread 6, (1*ZSEN25-1*ZSEK26)</v>
        <stp/>
        <stp>ContractData</stp>
        <stp>ZSES6N25</stp>
        <stp>LongDescription</stp>
        <stp/>
        <stp>T</stp>
        <tr r="B113" s="2"/>
        <tr r="B113" s="2"/>
      </tp>
      <tp t="s">
        <v>Soybean Calendar Spread 6, (1*ZSEN26-1*ZSEK27)</v>
        <stp/>
        <stp>ContractData</stp>
        <stp>ZSES6N26</stp>
        <stp>LongDescription</stp>
        <stp/>
        <stp>T</stp>
        <tr r="B120" s="2"/>
        <tr r="B120" s="2"/>
      </tp>
      <tp t="s">
        <v>ZSES3F26</v>
        <stp/>
        <stp>ContractData</stp>
        <stp>ZSES3??9</stp>
        <stp>Symbol</stp>
        <stp/>
        <stp>T</stp>
        <tr r="M24" s="8"/>
      </tp>
      <tp t="s">
        <v>ZSES2F26</v>
        <stp/>
        <stp>ContractData</stp>
        <stp>ZSES2??9</stp>
        <stp>Symbol</stp>
        <stp/>
        <stp>T</stp>
        <tr r="M24" s="7"/>
      </tp>
      <tp t="s">
        <v>ZSES1F26</v>
        <stp/>
        <stp>ContractData</stp>
        <stp>ZSES1??9</stp>
        <stp>Symbol</stp>
        <stp/>
        <stp>T</stp>
        <tr r="M24" s="6"/>
      </tp>
      <tp t="s">
        <v>ZSES6F26</v>
        <stp/>
        <stp>ContractData</stp>
        <stp>ZSES6??9</stp>
        <stp>Symbol</stp>
        <stp/>
        <stp>T</stp>
        <tr r="M24" s="11"/>
      </tp>
      <tp t="s">
        <v>ZSES5F26</v>
        <stp/>
        <stp>ContractData</stp>
        <stp>ZSES5??9</stp>
        <stp>Symbol</stp>
        <stp/>
        <stp>T</stp>
        <tr r="M24" s="10"/>
      </tp>
      <tp t="s">
        <v>ZSES4F26</v>
        <stp/>
        <stp>ContractData</stp>
        <stp>ZSES4??9</stp>
        <stp>Symbol</stp>
        <stp/>
        <stp>T</stp>
        <tr r="M24" s="9"/>
      </tp>
      <tp>
        <v>1062</v>
        <stp/>
        <stp>ContractData</stp>
        <stp>ZSEF26</stp>
        <stp>Open</stp>
        <stp/>
        <stp>T</stp>
        <tr r="C21" s="2"/>
      </tp>
      <tp>
        <v>1030</v>
        <stp/>
        <stp>ContractData</stp>
        <stp>ZSEF25</stp>
        <stp>Open</stp>
        <stp/>
        <stp>T</stp>
        <tr r="C14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60946020196183E-2"/>
          <c:y val="3.197351045372112E-2"/>
          <c:w val="0.96639053979803813"/>
          <c:h val="0.6522078501847083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'CLE4'!$AI$2:$AI$13</c:f>
              <c:strCache>
                <c:ptCount val="12"/>
                <c:pt idx="0">
                  <c:v>1*ZSEX24-1*ZSEN25</c:v>
                </c:pt>
                <c:pt idx="1">
                  <c:v>1*ZSEF25-1*ZSEQ25</c:v>
                </c:pt>
                <c:pt idx="2">
                  <c:v>1*ZSEH25-1*ZSEU25</c:v>
                </c:pt>
                <c:pt idx="3">
                  <c:v>1*ZSEK25-1*ZSEX25</c:v>
                </c:pt>
                <c:pt idx="4">
                  <c:v>1*ZSEN25-1*ZSEF26</c:v>
                </c:pt>
                <c:pt idx="5">
                  <c:v>1*ZSEQ25-1*ZSEH26</c:v>
                </c:pt>
                <c:pt idx="6">
                  <c:v>1*ZSEU25-1*ZSEK26</c:v>
                </c:pt>
                <c:pt idx="7">
                  <c:v>1*ZSEX25-1*ZSEN26</c:v>
                </c:pt>
                <c:pt idx="8">
                  <c:v>1*ZSEF26-1*ZSEQ26</c:v>
                </c:pt>
                <c:pt idx="9">
                  <c:v>1*ZSEH26-1*ZSEU26</c:v>
                </c:pt>
                <c:pt idx="10">
                  <c:v>1*ZSEK26-1*ZSEX26</c:v>
                </c:pt>
                <c:pt idx="11">
                  <c:v>1*ZSEN26-1*ZSEF27</c:v>
                </c:pt>
              </c:strCache>
            </c:strRef>
          </c:cat>
          <c:val>
            <c:numRef>
              <c:f>'CLE4'!$AG$2:$AG$13</c:f>
              <c:numCache>
                <c:formatCode>General</c:formatCode>
                <c:ptCount val="12"/>
                <c:pt idx="0">
                  <c:v>-49.13</c:v>
                </c:pt>
                <c:pt idx="1">
                  <c:v>-33.25</c:v>
                </c:pt>
                <c:pt idx="2">
                  <c:v>-6.25</c:v>
                </c:pt>
                <c:pt idx="3">
                  <c:v>8.5</c:v>
                </c:pt>
                <c:pt idx="4">
                  <c:v>10.38</c:v>
                </c:pt>
                <c:pt idx="5">
                  <c:v>8.6300000000000008</c:v>
                </c:pt>
                <c:pt idx="6">
                  <c:v>-11.88</c:v>
                </c:pt>
                <c:pt idx="7">
                  <c:v>-22.25</c:v>
                </c:pt>
                <c:pt idx="8">
                  <c:v>#N/A</c:v>
                </c:pt>
                <c:pt idx="9">
                  <c:v>#N/A</c:v>
                </c:pt>
                <c:pt idx="10">
                  <c:v>9.5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64-40C1-9F69-21986BA54FFC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'CLE4'!$AI$2:$AI$13</c:f>
              <c:strCache>
                <c:ptCount val="12"/>
                <c:pt idx="0">
                  <c:v>1*ZSEX24-1*ZSEN25</c:v>
                </c:pt>
                <c:pt idx="1">
                  <c:v>1*ZSEF25-1*ZSEQ25</c:v>
                </c:pt>
                <c:pt idx="2">
                  <c:v>1*ZSEH25-1*ZSEU25</c:v>
                </c:pt>
                <c:pt idx="3">
                  <c:v>1*ZSEK25-1*ZSEX25</c:v>
                </c:pt>
                <c:pt idx="4">
                  <c:v>1*ZSEN25-1*ZSEF26</c:v>
                </c:pt>
                <c:pt idx="5">
                  <c:v>1*ZSEQ25-1*ZSEH26</c:v>
                </c:pt>
                <c:pt idx="6">
                  <c:v>1*ZSEU25-1*ZSEK26</c:v>
                </c:pt>
                <c:pt idx="7">
                  <c:v>1*ZSEX25-1*ZSEN26</c:v>
                </c:pt>
                <c:pt idx="8">
                  <c:v>1*ZSEF26-1*ZSEQ26</c:v>
                </c:pt>
                <c:pt idx="9">
                  <c:v>1*ZSEH26-1*ZSEU26</c:v>
                </c:pt>
                <c:pt idx="10">
                  <c:v>1*ZSEK26-1*ZSEX26</c:v>
                </c:pt>
                <c:pt idx="11">
                  <c:v>1*ZSEN26-1*ZSEF27</c:v>
                </c:pt>
              </c:strCache>
            </c:strRef>
          </c:cat>
          <c:val>
            <c:numRef>
              <c:f>'CLE4'!$K$16:$K$27</c:f>
              <c:numCache>
                <c:formatCode>General</c:formatCode>
                <c:ptCount val="12"/>
                <c:pt idx="0">
                  <c:v>-50.25</c:v>
                </c:pt>
                <c:pt idx="1">
                  <c:v>-38</c:v>
                </c:pt>
                <c:pt idx="2">
                  <c:v>-16.5</c:v>
                </c:pt>
                <c:pt idx="3">
                  <c:v>-5.25</c:v>
                </c:pt>
                <c:pt idx="4">
                  <c:v>-6</c:v>
                </c:pt>
                <c:pt idx="5">
                  <c:v>-9.25</c:v>
                </c:pt>
                <c:pt idx="6">
                  <c:v>-23.75</c:v>
                </c:pt>
                <c:pt idx="7">
                  <c:v>-29</c:v>
                </c:pt>
                <c:pt idx="8">
                  <c:v>-12</c:v>
                </c:pt>
                <c:pt idx="9">
                  <c:v>2.75</c:v>
                </c:pt>
                <c:pt idx="10">
                  <c:v>6.5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64-40C1-9F69-21986BA5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3520"/>
        <c:axId val="147432496"/>
        <c:extLst/>
      </c:lineChart>
      <c:catAx>
        <c:axId val="23871352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147432496"/>
        <c:crosses val="autoZero"/>
        <c:auto val="1"/>
        <c:lblAlgn val="ctr"/>
        <c:lblOffset val="100"/>
        <c:noMultiLvlLbl val="0"/>
      </c:catAx>
      <c:valAx>
        <c:axId val="14743249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3871352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578430190869979E-2"/>
          <c:y val="0.18245614035087721"/>
          <c:w val="0.95785454021313587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'CLE3'!$AI$2:$AI$13</c:f>
              <c:strCache>
                <c:ptCount val="12"/>
                <c:pt idx="0">
                  <c:v>1*ZSEX24-1*ZSEK25</c:v>
                </c:pt>
                <c:pt idx="1">
                  <c:v>1*ZSEF25-1*ZSEN25</c:v>
                </c:pt>
                <c:pt idx="2">
                  <c:v>1*ZSEH25-1*ZSEQ25</c:v>
                </c:pt>
                <c:pt idx="3">
                  <c:v>1*ZSEK25-1*ZSEU25</c:v>
                </c:pt>
                <c:pt idx="4">
                  <c:v>1*ZSEN25-1*ZSEX25</c:v>
                </c:pt>
                <c:pt idx="5">
                  <c:v>1*ZSEQ25-1*ZSEF26</c:v>
                </c:pt>
                <c:pt idx="6">
                  <c:v>1*ZSEU25-1*ZSEH26</c:v>
                </c:pt>
                <c:pt idx="7">
                  <c:v>1*ZSEX25-1*ZSEK26</c:v>
                </c:pt>
                <c:pt idx="8">
                  <c:v>1*ZSEF26-1*ZSEN26</c:v>
                </c:pt>
                <c:pt idx="9">
                  <c:v>1*ZSEH26-1*ZSEQ26</c:v>
                </c:pt>
                <c:pt idx="10">
                  <c:v>1*ZSEK26-1*ZSEU26</c:v>
                </c:pt>
                <c:pt idx="11">
                  <c:v>1*ZSEN26-1*ZSEX26</c:v>
                </c:pt>
              </c:strCache>
            </c:strRef>
          </c:cat>
          <c:val>
            <c:numRef>
              <c:f>'CLE3'!$L$16:$L$27</c:f>
              <c:numCache>
                <c:formatCode>General</c:formatCode>
                <c:ptCount val="12"/>
                <c:pt idx="0">
                  <c:v>1.37</c:v>
                </c:pt>
                <c:pt idx="1">
                  <c:v>2.5</c:v>
                </c:pt>
                <c:pt idx="2">
                  <c:v>3.5</c:v>
                </c:pt>
                <c:pt idx="3">
                  <c:v>9</c:v>
                </c:pt>
                <c:pt idx="4">
                  <c:v>14.25</c:v>
                </c:pt>
                <c:pt idx="5">
                  <c:v>14</c:v>
                </c:pt>
                <c:pt idx="6">
                  <c:v>11</c:v>
                </c:pt>
                <c:pt idx="7">
                  <c:v>7.25</c:v>
                </c:pt>
                <c:pt idx="8">
                  <c:v>5.12</c:v>
                </c:pt>
                <c:pt idx="9">
                  <c:v>0</c:v>
                </c:pt>
                <c:pt idx="10">
                  <c:v>0</c:v>
                </c:pt>
                <c:pt idx="1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9-4F5C-97FC-9F291E544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15776"/>
        <c:axId val="236416336"/>
      </c:barChart>
      <c:catAx>
        <c:axId val="236415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6336"/>
        <c:crosses val="autoZero"/>
        <c:auto val="1"/>
        <c:lblAlgn val="ctr"/>
        <c:lblOffset val="100"/>
        <c:noMultiLvlLbl val="0"/>
      </c:catAx>
      <c:valAx>
        <c:axId val="23641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89838150834444E-2"/>
          <c:y val="0.18245614035087721"/>
          <c:w val="0.96131725173149341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'CLE5'!$AI$2:$AI$13</c:f>
              <c:strCache>
                <c:ptCount val="12"/>
                <c:pt idx="0">
                  <c:v>1*ZSEX24-1*ZSEQ25</c:v>
                </c:pt>
                <c:pt idx="1">
                  <c:v>1*ZSEF25-1*ZSEU25</c:v>
                </c:pt>
                <c:pt idx="2">
                  <c:v>1*ZSEH25-1*ZSEX25</c:v>
                </c:pt>
                <c:pt idx="3">
                  <c:v>1*ZSEK25-1*ZSEF26</c:v>
                </c:pt>
                <c:pt idx="4">
                  <c:v>1*ZSEN25-1*ZSEH26</c:v>
                </c:pt>
                <c:pt idx="5">
                  <c:v>1*ZSEQ25-1*ZSEK26</c:v>
                </c:pt>
                <c:pt idx="6">
                  <c:v>1*ZSEU25-1*ZSEN26</c:v>
                </c:pt>
                <c:pt idx="7">
                  <c:v>1*ZSEX25-1*ZSEQ26</c:v>
                </c:pt>
                <c:pt idx="8">
                  <c:v>1*ZSEF26-1*ZSEU26</c:v>
                </c:pt>
                <c:pt idx="9">
                  <c:v>1*ZSEH26-1*ZSEX26</c:v>
                </c:pt>
                <c:pt idx="10">
                  <c:v>1*ZSEK26-1*ZSEF27</c:v>
                </c:pt>
                <c:pt idx="11">
                  <c:v>1*ZSEN26-1*ZSEH27</c:v>
                </c:pt>
              </c:strCache>
            </c:strRef>
          </c:cat>
          <c:val>
            <c:numRef>
              <c:f>'CLE5'!$L$16:$L$27</c:f>
              <c:numCache>
                <c:formatCode>General</c:formatCode>
                <c:ptCount val="12"/>
                <c:pt idx="0">
                  <c:v>3.5</c:v>
                </c:pt>
                <c:pt idx="1">
                  <c:v>11.75</c:v>
                </c:pt>
                <c:pt idx="2">
                  <c:v>15</c:v>
                </c:pt>
                <c:pt idx="3">
                  <c:v>16</c:v>
                </c:pt>
                <c:pt idx="4">
                  <c:v>20.25</c:v>
                </c:pt>
                <c:pt idx="5">
                  <c:v>18.75</c:v>
                </c:pt>
                <c:pt idx="6">
                  <c:v>12.25</c:v>
                </c:pt>
                <c:pt idx="7">
                  <c:v>0</c:v>
                </c:pt>
                <c:pt idx="8">
                  <c:v>0</c:v>
                </c:pt>
                <c:pt idx="9">
                  <c:v>3.88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8-4DFF-B1A9-B9AA927B6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1376"/>
        <c:axId val="236421936"/>
      </c:barChart>
      <c:catAx>
        <c:axId val="2364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1936"/>
        <c:crosses val="autoZero"/>
        <c:auto val="1"/>
        <c:lblAlgn val="ctr"/>
        <c:lblOffset val="100"/>
        <c:noMultiLvlLbl val="0"/>
      </c:catAx>
      <c:valAx>
        <c:axId val="23642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1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154481561897476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CLE!$AH$2:$AH$13</c:f>
              <c:strCache>
                <c:ptCount val="12"/>
                <c:pt idx="0">
                  <c:v>Nov 24</c:v>
                </c:pt>
                <c:pt idx="1">
                  <c:v>Jan 25</c:v>
                </c:pt>
                <c:pt idx="2">
                  <c:v>Mar 25</c:v>
                </c:pt>
                <c:pt idx="3">
                  <c:v>May 25</c:v>
                </c:pt>
                <c:pt idx="4">
                  <c:v>Jul 25</c:v>
                </c:pt>
                <c:pt idx="5">
                  <c:v>Aug 25</c:v>
                </c:pt>
                <c:pt idx="6">
                  <c:v>Sep 25</c:v>
                </c:pt>
                <c:pt idx="7">
                  <c:v>Nov 25</c:v>
                </c:pt>
                <c:pt idx="8">
                  <c:v>Jan 26</c:v>
                </c:pt>
                <c:pt idx="9">
                  <c:v>Mar 26</c:v>
                </c:pt>
                <c:pt idx="10">
                  <c:v>May 26</c:v>
                </c:pt>
                <c:pt idx="11">
                  <c:v>Jul 26</c:v>
                </c:pt>
              </c:strCache>
            </c:strRef>
          </c:cat>
          <c:val>
            <c:numRef>
              <c:f>CLE!$G$16:$G$27</c:f>
              <c:numCache>
                <c:formatCode>General</c:formatCode>
                <c:ptCount val="12"/>
                <c:pt idx="0">
                  <c:v>24.25</c:v>
                </c:pt>
                <c:pt idx="1">
                  <c:v>23.75</c:v>
                </c:pt>
                <c:pt idx="2">
                  <c:v>22.25</c:v>
                </c:pt>
                <c:pt idx="3">
                  <c:v>20.75</c:v>
                </c:pt>
                <c:pt idx="4">
                  <c:v>21.25</c:v>
                </c:pt>
                <c:pt idx="5">
                  <c:v>19</c:v>
                </c:pt>
                <c:pt idx="6">
                  <c:v>12</c:v>
                </c:pt>
                <c:pt idx="7">
                  <c:v>7.25</c:v>
                </c:pt>
                <c:pt idx="8">
                  <c:v>5</c:v>
                </c:pt>
                <c:pt idx="9">
                  <c:v>1</c:v>
                </c:pt>
                <c:pt idx="10">
                  <c:v>0</c:v>
                </c:pt>
                <c:pt idx="11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64-4010-8557-F959DA225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4176"/>
        <c:axId val="240672928"/>
      </c:barChart>
      <c:catAx>
        <c:axId val="2364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672928"/>
        <c:crosses val="autoZero"/>
        <c:auto val="1"/>
        <c:lblAlgn val="ctr"/>
        <c:lblOffset val="100"/>
        <c:noMultiLvlLbl val="0"/>
      </c:catAx>
      <c:valAx>
        <c:axId val="2406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'CLE6'!$AI$2:$AI$13</c:f>
              <c:strCache>
                <c:ptCount val="12"/>
                <c:pt idx="0">
                  <c:v>1*ZSEX24-1*ZSEU25</c:v>
                </c:pt>
                <c:pt idx="1">
                  <c:v>1*ZSEF25-1*ZSEX25</c:v>
                </c:pt>
                <c:pt idx="2">
                  <c:v>1*ZSEH25-1*ZSEF26</c:v>
                </c:pt>
                <c:pt idx="3">
                  <c:v>1*ZSEK25-1*ZSEH26</c:v>
                </c:pt>
                <c:pt idx="4">
                  <c:v>1*ZSEN25-1*ZSEK26</c:v>
                </c:pt>
                <c:pt idx="5">
                  <c:v>1*ZSEQ25-1*ZSEN26</c:v>
                </c:pt>
                <c:pt idx="6">
                  <c:v>1*ZSEU25-1*ZSEQ26</c:v>
                </c:pt>
                <c:pt idx="7">
                  <c:v>1*ZSEX25-1*ZSEU26</c:v>
                </c:pt>
                <c:pt idx="8">
                  <c:v>1*ZSEF26-1*ZSEX26</c:v>
                </c:pt>
                <c:pt idx="9">
                  <c:v>1*ZSEH26-1*ZSEF27</c:v>
                </c:pt>
                <c:pt idx="10">
                  <c:v>1*ZSEK26-1*ZSEH27</c:v>
                </c:pt>
                <c:pt idx="11">
                  <c:v>1*ZSEN26-1*ZSEK27</c:v>
                </c:pt>
              </c:strCache>
            </c:strRef>
          </c:cat>
          <c:val>
            <c:numRef>
              <c:f>'CLE6'!$AG$2:$AG$13</c:f>
              <c:numCache>
                <c:formatCode>General</c:formatCode>
                <c:ptCount val="12"/>
                <c:pt idx="0">
                  <c:v>-31.88</c:v>
                </c:pt>
                <c:pt idx="1">
                  <c:v>-15.75</c:v>
                </c:pt>
                <c:pt idx="2">
                  <c:v>-13.25</c:v>
                </c:pt>
                <c:pt idx="3">
                  <c:v>-0.25</c:v>
                </c:pt>
                <c:pt idx="4">
                  <c:v>5.38</c:v>
                </c:pt>
                <c:pt idx="5">
                  <c:v>-4.13</c:v>
                </c:pt>
                <c:pt idx="6">
                  <c:v>#N/A</c:v>
                </c:pt>
                <c:pt idx="7">
                  <c:v>#N/A</c:v>
                </c:pt>
                <c:pt idx="8">
                  <c:v>4.5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6-4189-BBE1-497357D2444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'CLE6'!$AI$2:$AI$13</c:f>
              <c:strCache>
                <c:ptCount val="12"/>
                <c:pt idx="0">
                  <c:v>1*ZSEX24-1*ZSEU25</c:v>
                </c:pt>
                <c:pt idx="1">
                  <c:v>1*ZSEF25-1*ZSEX25</c:v>
                </c:pt>
                <c:pt idx="2">
                  <c:v>1*ZSEH25-1*ZSEF26</c:v>
                </c:pt>
                <c:pt idx="3">
                  <c:v>1*ZSEK25-1*ZSEH26</c:v>
                </c:pt>
                <c:pt idx="4">
                  <c:v>1*ZSEN25-1*ZSEK26</c:v>
                </c:pt>
                <c:pt idx="5">
                  <c:v>1*ZSEQ25-1*ZSEN26</c:v>
                </c:pt>
                <c:pt idx="6">
                  <c:v>1*ZSEU25-1*ZSEQ26</c:v>
                </c:pt>
                <c:pt idx="7">
                  <c:v>1*ZSEX25-1*ZSEU26</c:v>
                </c:pt>
                <c:pt idx="8">
                  <c:v>1*ZSEF26-1*ZSEX26</c:v>
                </c:pt>
                <c:pt idx="9">
                  <c:v>1*ZSEH26-1*ZSEF27</c:v>
                </c:pt>
                <c:pt idx="10">
                  <c:v>1*ZSEK26-1*ZSEH27</c:v>
                </c:pt>
                <c:pt idx="11">
                  <c:v>1*ZSEN26-1*ZSEK27</c:v>
                </c:pt>
              </c:strCache>
            </c:strRef>
          </c:cat>
          <c:val>
            <c:numRef>
              <c:f>'CLE6'!$K$16:$K$27</c:f>
              <c:numCache>
                <c:formatCode>General</c:formatCode>
                <c:ptCount val="12"/>
                <c:pt idx="0">
                  <c:v>-42.25</c:v>
                </c:pt>
                <c:pt idx="1">
                  <c:v>-32.25</c:v>
                </c:pt>
                <c:pt idx="2">
                  <c:v>-30.5</c:v>
                </c:pt>
                <c:pt idx="3">
                  <c:v>-20.25</c:v>
                </c:pt>
                <c:pt idx="4">
                  <c:v>-15.75</c:v>
                </c:pt>
                <c:pt idx="5">
                  <c:v>-23.25</c:v>
                </c:pt>
                <c:pt idx="6">
                  <c:v>-26</c:v>
                </c:pt>
                <c:pt idx="7">
                  <c:v>-12.25</c:v>
                </c:pt>
                <c:pt idx="8">
                  <c:v>-3.25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6-4189-BBE1-497357D24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89838150834444E-2"/>
          <c:y val="0.18245614035087721"/>
          <c:w val="0.96131725173149341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'CLE6'!$AI$2:$AI$13</c:f>
              <c:strCache>
                <c:ptCount val="12"/>
                <c:pt idx="0">
                  <c:v>1*ZSEX24-1*ZSEU25</c:v>
                </c:pt>
                <c:pt idx="1">
                  <c:v>1*ZSEF25-1*ZSEX25</c:v>
                </c:pt>
                <c:pt idx="2">
                  <c:v>1*ZSEH25-1*ZSEF26</c:v>
                </c:pt>
                <c:pt idx="3">
                  <c:v>1*ZSEK25-1*ZSEH26</c:v>
                </c:pt>
                <c:pt idx="4">
                  <c:v>1*ZSEN25-1*ZSEK26</c:v>
                </c:pt>
                <c:pt idx="5">
                  <c:v>1*ZSEQ25-1*ZSEN26</c:v>
                </c:pt>
                <c:pt idx="6">
                  <c:v>1*ZSEU25-1*ZSEQ26</c:v>
                </c:pt>
                <c:pt idx="7">
                  <c:v>1*ZSEX25-1*ZSEU26</c:v>
                </c:pt>
                <c:pt idx="8">
                  <c:v>1*ZSEF26-1*ZSEX26</c:v>
                </c:pt>
                <c:pt idx="9">
                  <c:v>1*ZSEH26-1*ZSEF27</c:v>
                </c:pt>
                <c:pt idx="10">
                  <c:v>1*ZSEK26-1*ZSEH27</c:v>
                </c:pt>
                <c:pt idx="11">
                  <c:v>1*ZSEN26-1*ZSEK27</c:v>
                </c:pt>
              </c:strCache>
            </c:strRef>
          </c:cat>
          <c:val>
            <c:numRef>
              <c:f>'CLE6'!$L$16:$L$27</c:f>
              <c:numCache>
                <c:formatCode>General</c:formatCode>
                <c:ptCount val="12"/>
                <c:pt idx="0">
                  <c:v>10.37</c:v>
                </c:pt>
                <c:pt idx="1">
                  <c:v>16.5</c:v>
                </c:pt>
                <c:pt idx="2">
                  <c:v>17.25</c:v>
                </c:pt>
                <c:pt idx="3">
                  <c:v>20</c:v>
                </c:pt>
                <c:pt idx="4">
                  <c:v>21.13</c:v>
                </c:pt>
                <c:pt idx="5">
                  <c:v>19.12</c:v>
                </c:pt>
                <c:pt idx="6">
                  <c:v>0</c:v>
                </c:pt>
                <c:pt idx="7">
                  <c:v>0</c:v>
                </c:pt>
                <c:pt idx="8">
                  <c:v>7.75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2-4D30-82AA-E4D8E230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1376"/>
        <c:axId val="236421936"/>
      </c:barChart>
      <c:catAx>
        <c:axId val="2364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1936"/>
        <c:crosses val="autoZero"/>
        <c:auto val="1"/>
        <c:lblAlgn val="ctr"/>
        <c:lblOffset val="100"/>
        <c:noMultiLvlLbl val="0"/>
      </c:catAx>
      <c:valAx>
        <c:axId val="23642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1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627432527109404E-2"/>
          <c:y val="0.18245614035087721"/>
          <c:w val="0.96237964676726162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'CLE4'!$AI$2:$AI$13</c:f>
              <c:strCache>
                <c:ptCount val="12"/>
                <c:pt idx="0">
                  <c:v>1*ZSEX24-1*ZSEN25</c:v>
                </c:pt>
                <c:pt idx="1">
                  <c:v>1*ZSEF25-1*ZSEQ25</c:v>
                </c:pt>
                <c:pt idx="2">
                  <c:v>1*ZSEH25-1*ZSEU25</c:v>
                </c:pt>
                <c:pt idx="3">
                  <c:v>1*ZSEK25-1*ZSEX25</c:v>
                </c:pt>
                <c:pt idx="4">
                  <c:v>1*ZSEN25-1*ZSEF26</c:v>
                </c:pt>
                <c:pt idx="5">
                  <c:v>1*ZSEQ25-1*ZSEH26</c:v>
                </c:pt>
                <c:pt idx="6">
                  <c:v>1*ZSEU25-1*ZSEK26</c:v>
                </c:pt>
                <c:pt idx="7">
                  <c:v>1*ZSEX25-1*ZSEN26</c:v>
                </c:pt>
                <c:pt idx="8">
                  <c:v>1*ZSEF26-1*ZSEQ26</c:v>
                </c:pt>
                <c:pt idx="9">
                  <c:v>1*ZSEH26-1*ZSEU26</c:v>
                </c:pt>
                <c:pt idx="10">
                  <c:v>1*ZSEK26-1*ZSEX26</c:v>
                </c:pt>
                <c:pt idx="11">
                  <c:v>1*ZSEN26-1*ZSEF27</c:v>
                </c:pt>
              </c:strCache>
            </c:strRef>
          </c:cat>
          <c:val>
            <c:numRef>
              <c:f>'CLE4'!$L$16:$L$27</c:f>
              <c:numCache>
                <c:formatCode>General</c:formatCode>
                <c:ptCount val="12"/>
                <c:pt idx="0">
                  <c:v>1.1200000000000001</c:v>
                </c:pt>
                <c:pt idx="1">
                  <c:v>4.75</c:v>
                </c:pt>
                <c:pt idx="2">
                  <c:v>10.25</c:v>
                </c:pt>
                <c:pt idx="3">
                  <c:v>13.75</c:v>
                </c:pt>
                <c:pt idx="4">
                  <c:v>16.38</c:v>
                </c:pt>
                <c:pt idx="5">
                  <c:v>17.88</c:v>
                </c:pt>
                <c:pt idx="6">
                  <c:v>11.87</c:v>
                </c:pt>
                <c:pt idx="7">
                  <c:v>6.75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8-4371-B456-6180DC284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18576"/>
        <c:axId val="236419136"/>
      </c:barChart>
      <c:catAx>
        <c:axId val="23641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9136"/>
        <c:crosses val="autoZero"/>
        <c:auto val="1"/>
        <c:lblAlgn val="ctr"/>
        <c:lblOffset val="100"/>
        <c:noMultiLvlLbl val="0"/>
      </c:catAx>
      <c:valAx>
        <c:axId val="23641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8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055779964869842E-2"/>
          <c:y val="3.5291779225355292E-2"/>
          <c:w val="0.96194422003513014"/>
          <c:h val="0.7078242518969875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CLE!$AH$2:$AH$13</c:f>
              <c:strCache>
                <c:ptCount val="12"/>
                <c:pt idx="0">
                  <c:v>Nov 24</c:v>
                </c:pt>
                <c:pt idx="1">
                  <c:v>Jan 25</c:v>
                </c:pt>
                <c:pt idx="2">
                  <c:v>Mar 25</c:v>
                </c:pt>
                <c:pt idx="3">
                  <c:v>May 25</c:v>
                </c:pt>
                <c:pt idx="4">
                  <c:v>Jul 25</c:v>
                </c:pt>
                <c:pt idx="5">
                  <c:v>Aug 25</c:v>
                </c:pt>
                <c:pt idx="6">
                  <c:v>Sep 25</c:v>
                </c:pt>
                <c:pt idx="7">
                  <c:v>Nov 25</c:v>
                </c:pt>
                <c:pt idx="8">
                  <c:v>Jan 26</c:v>
                </c:pt>
                <c:pt idx="9">
                  <c:v>Mar 26</c:v>
                </c:pt>
                <c:pt idx="10">
                  <c:v>May 26</c:v>
                </c:pt>
                <c:pt idx="11">
                  <c:v>Jul 26</c:v>
                </c:pt>
              </c:strCache>
            </c:strRef>
          </c:cat>
          <c:val>
            <c:numRef>
              <c:f>CLE!$AF$2:$AF$13</c:f>
              <c:numCache>
                <c:formatCode>General</c:formatCode>
                <c:ptCount val="12"/>
                <c:pt idx="0">
                  <c:v>1015.25</c:v>
                </c:pt>
                <c:pt idx="1">
                  <c:v>1027.25</c:v>
                </c:pt>
                <c:pt idx="2">
                  <c:v>1039</c:v>
                </c:pt>
                <c:pt idx="3">
                  <c:v>1051.25</c:v>
                </c:pt>
                <c:pt idx="4">
                  <c:v>1062.5</c:v>
                </c:pt>
                <c:pt idx="5">
                  <c:v>1060.5</c:v>
                </c:pt>
                <c:pt idx="6">
                  <c:v>1045.25</c:v>
                </c:pt>
                <c:pt idx="7">
                  <c:v>1043</c:v>
                </c:pt>
                <c:pt idx="8">
                  <c:v>1052.25</c:v>
                </c:pt>
                <c:pt idx="9">
                  <c:v>1051.75</c:v>
                </c:pt>
                <c:pt idx="10">
                  <c:v>1057</c:v>
                </c:pt>
                <c:pt idx="11">
                  <c:v>1064.5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CLE!$AH$2:$AH$13</c:f>
              <c:strCache>
                <c:ptCount val="12"/>
                <c:pt idx="0">
                  <c:v>Nov 24</c:v>
                </c:pt>
                <c:pt idx="1">
                  <c:v>Jan 25</c:v>
                </c:pt>
                <c:pt idx="2">
                  <c:v>Mar 25</c:v>
                </c:pt>
                <c:pt idx="3">
                  <c:v>May 25</c:v>
                </c:pt>
                <c:pt idx="4">
                  <c:v>Jul 25</c:v>
                </c:pt>
                <c:pt idx="5">
                  <c:v>Aug 25</c:v>
                </c:pt>
                <c:pt idx="6">
                  <c:v>Sep 25</c:v>
                </c:pt>
                <c:pt idx="7">
                  <c:v>Nov 25</c:v>
                </c:pt>
                <c:pt idx="8">
                  <c:v>Jan 26</c:v>
                </c:pt>
                <c:pt idx="9">
                  <c:v>Mar 26</c:v>
                </c:pt>
                <c:pt idx="10">
                  <c:v>May 26</c:v>
                </c:pt>
                <c:pt idx="11">
                  <c:v>Jul 26</c:v>
                </c:pt>
              </c:strCache>
            </c:strRef>
          </c:cat>
          <c:val>
            <c:numRef>
              <c:f>CLE!$E$16:$E$27</c:f>
              <c:numCache>
                <c:formatCode>General</c:formatCode>
                <c:ptCount val="12"/>
                <c:pt idx="0">
                  <c:v>991</c:v>
                </c:pt>
                <c:pt idx="1">
                  <c:v>1003.5</c:v>
                </c:pt>
                <c:pt idx="2">
                  <c:v>1016.75</c:v>
                </c:pt>
                <c:pt idx="3">
                  <c:v>1030.5</c:v>
                </c:pt>
                <c:pt idx="4">
                  <c:v>1041.25</c:v>
                </c:pt>
                <c:pt idx="5">
                  <c:v>1041.5</c:v>
                </c:pt>
                <c:pt idx="6">
                  <c:v>1033.25</c:v>
                </c:pt>
                <c:pt idx="7">
                  <c:v>1035.75</c:v>
                </c:pt>
                <c:pt idx="8">
                  <c:v>1047.25</c:v>
                </c:pt>
                <c:pt idx="9">
                  <c:v>1050.75</c:v>
                </c:pt>
                <c:pt idx="10">
                  <c:v>1057</c:v>
                </c:pt>
                <c:pt idx="11">
                  <c:v>1064.75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2400"/>
        <c:axId val="238706240"/>
      </c:lineChart>
      <c:catAx>
        <c:axId val="2387124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8706240"/>
        <c:crosses val="autoZero"/>
        <c:auto val="1"/>
        <c:lblAlgn val="ctr"/>
        <c:lblOffset val="100"/>
        <c:noMultiLvlLbl val="0"/>
      </c:catAx>
      <c:valAx>
        <c:axId val="23870624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87124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49428525907105E-2"/>
          <c:y val="3.197351045372112E-2"/>
          <c:w val="0.96356259381315357"/>
          <c:h val="0.6522078501847083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'CLE2'!$AI$2:$AI$13</c:f>
              <c:strCache>
                <c:ptCount val="12"/>
                <c:pt idx="0">
                  <c:v>1*ZSEX24-1*ZSEH25</c:v>
                </c:pt>
                <c:pt idx="1">
                  <c:v>1*ZSEF25-1*ZSEK25</c:v>
                </c:pt>
                <c:pt idx="2">
                  <c:v>1*ZSEH25-1*ZSEN25</c:v>
                </c:pt>
                <c:pt idx="3">
                  <c:v>1*ZSEK25-1*ZSEQ25</c:v>
                </c:pt>
                <c:pt idx="4">
                  <c:v>1*ZSEN25-1*ZSEU25</c:v>
                </c:pt>
                <c:pt idx="5">
                  <c:v>1*ZSEQ25-1*ZSEX25</c:v>
                </c:pt>
                <c:pt idx="6">
                  <c:v>1*ZSEU25-1*ZSEF26</c:v>
                </c:pt>
                <c:pt idx="7">
                  <c:v>1*ZSEX25-1*ZSEH26</c:v>
                </c:pt>
                <c:pt idx="8">
                  <c:v>1*ZSEF26-1*ZSEK26</c:v>
                </c:pt>
                <c:pt idx="9">
                  <c:v>1*ZSEH26-1*ZSEN26</c:v>
                </c:pt>
                <c:pt idx="10">
                  <c:v>1*ZSEK26-1*ZSEQ26</c:v>
                </c:pt>
                <c:pt idx="11">
                  <c:v>1*ZSEN26-1*ZSEU26</c:v>
                </c:pt>
              </c:strCache>
            </c:strRef>
          </c:cat>
          <c:val>
            <c:numRef>
              <c:f>'CLE2'!$AG$2:$AG$13</c:f>
              <c:numCache>
                <c:formatCode>General</c:formatCode>
                <c:ptCount val="12"/>
                <c:pt idx="0">
                  <c:v>-25.5</c:v>
                </c:pt>
                <c:pt idx="1">
                  <c:v>-24.5</c:v>
                </c:pt>
                <c:pt idx="2">
                  <c:v>-23.5</c:v>
                </c:pt>
                <c:pt idx="3">
                  <c:v>-9</c:v>
                </c:pt>
                <c:pt idx="4">
                  <c:v>17.25</c:v>
                </c:pt>
                <c:pt idx="5">
                  <c:v>17.75</c:v>
                </c:pt>
                <c:pt idx="6">
                  <c:v>-6.75</c:v>
                </c:pt>
                <c:pt idx="7">
                  <c:v>-8.75</c:v>
                </c:pt>
                <c:pt idx="8">
                  <c:v>-5</c:v>
                </c:pt>
                <c:pt idx="9">
                  <c:v>-12.75</c:v>
                </c:pt>
                <c:pt idx="10">
                  <c:v>#N/A</c:v>
                </c:pt>
                <c:pt idx="11">
                  <c:v>13.38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C-4BA7-BE1B-846F9E24BE3A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'CLE2'!$AI$2:$AI$13</c:f>
              <c:strCache>
                <c:ptCount val="12"/>
                <c:pt idx="0">
                  <c:v>1*ZSEX24-1*ZSEH25</c:v>
                </c:pt>
                <c:pt idx="1">
                  <c:v>1*ZSEF25-1*ZSEK25</c:v>
                </c:pt>
                <c:pt idx="2">
                  <c:v>1*ZSEH25-1*ZSEN25</c:v>
                </c:pt>
                <c:pt idx="3">
                  <c:v>1*ZSEK25-1*ZSEQ25</c:v>
                </c:pt>
                <c:pt idx="4">
                  <c:v>1*ZSEN25-1*ZSEU25</c:v>
                </c:pt>
                <c:pt idx="5">
                  <c:v>1*ZSEQ25-1*ZSEX25</c:v>
                </c:pt>
                <c:pt idx="6">
                  <c:v>1*ZSEU25-1*ZSEF26</c:v>
                </c:pt>
                <c:pt idx="7">
                  <c:v>1*ZSEX25-1*ZSEH26</c:v>
                </c:pt>
                <c:pt idx="8">
                  <c:v>1*ZSEF26-1*ZSEK26</c:v>
                </c:pt>
                <c:pt idx="9">
                  <c:v>1*ZSEH26-1*ZSEN26</c:v>
                </c:pt>
                <c:pt idx="10">
                  <c:v>1*ZSEK26-1*ZSEQ26</c:v>
                </c:pt>
                <c:pt idx="11">
                  <c:v>1*ZSEN26-1*ZSEU26</c:v>
                </c:pt>
              </c:strCache>
            </c:strRef>
          </c:cat>
          <c:val>
            <c:numRef>
              <c:f>'CLE2'!$K$16:$K$27</c:f>
              <c:numCache>
                <c:formatCode>General</c:formatCode>
                <c:ptCount val="12"/>
                <c:pt idx="0">
                  <c:v>-25.75</c:v>
                </c:pt>
                <c:pt idx="1">
                  <c:v>-27</c:v>
                </c:pt>
                <c:pt idx="2">
                  <c:v>-24.5</c:v>
                </c:pt>
                <c:pt idx="3">
                  <c:v>-11</c:v>
                </c:pt>
                <c:pt idx="4">
                  <c:v>8</c:v>
                </c:pt>
                <c:pt idx="5">
                  <c:v>5.75</c:v>
                </c:pt>
                <c:pt idx="6">
                  <c:v>-14</c:v>
                </c:pt>
                <c:pt idx="7">
                  <c:v>-15</c:v>
                </c:pt>
                <c:pt idx="8">
                  <c:v>-9.75</c:v>
                </c:pt>
                <c:pt idx="9">
                  <c:v>-14</c:v>
                </c:pt>
                <c:pt idx="10">
                  <c:v>-2.25</c:v>
                </c:pt>
                <c:pt idx="11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C-4BA7-BE1B-846F9E24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252619212947804E-2"/>
          <c:y val="3.197351045372112E-2"/>
          <c:w val="0.96460300199579874"/>
          <c:h val="0.69278754180643987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'CLE3'!$AI$2:$AI$13</c:f>
              <c:strCache>
                <c:ptCount val="12"/>
                <c:pt idx="0">
                  <c:v>1*ZSEX24-1*ZSEK25</c:v>
                </c:pt>
                <c:pt idx="1">
                  <c:v>1*ZSEF25-1*ZSEN25</c:v>
                </c:pt>
                <c:pt idx="2">
                  <c:v>1*ZSEH25-1*ZSEQ25</c:v>
                </c:pt>
                <c:pt idx="3">
                  <c:v>1*ZSEK25-1*ZSEU25</c:v>
                </c:pt>
                <c:pt idx="4">
                  <c:v>1*ZSEN25-1*ZSEX25</c:v>
                </c:pt>
                <c:pt idx="5">
                  <c:v>1*ZSEQ25-1*ZSEF26</c:v>
                </c:pt>
                <c:pt idx="6">
                  <c:v>1*ZSEU25-1*ZSEH26</c:v>
                </c:pt>
                <c:pt idx="7">
                  <c:v>1*ZSEX25-1*ZSEK26</c:v>
                </c:pt>
                <c:pt idx="8">
                  <c:v>1*ZSEF26-1*ZSEN26</c:v>
                </c:pt>
                <c:pt idx="9">
                  <c:v>1*ZSEH26-1*ZSEQ26</c:v>
                </c:pt>
                <c:pt idx="10">
                  <c:v>1*ZSEK26-1*ZSEU26</c:v>
                </c:pt>
                <c:pt idx="11">
                  <c:v>1*ZSEN26-1*ZSEX26</c:v>
                </c:pt>
              </c:strCache>
            </c:strRef>
          </c:cat>
          <c:val>
            <c:numRef>
              <c:f>'CLE3'!$AG$2:$AG$13</c:f>
              <c:numCache>
                <c:formatCode>General</c:formatCode>
                <c:ptCount val="12"/>
                <c:pt idx="0">
                  <c:v>-38.130000000000003</c:v>
                </c:pt>
                <c:pt idx="1">
                  <c:v>-35.25</c:v>
                </c:pt>
                <c:pt idx="2">
                  <c:v>-21.25</c:v>
                </c:pt>
                <c:pt idx="3">
                  <c:v>6.25</c:v>
                </c:pt>
                <c:pt idx="4">
                  <c:v>19.75</c:v>
                </c:pt>
                <c:pt idx="5">
                  <c:v>8.25</c:v>
                </c:pt>
                <c:pt idx="6">
                  <c:v>-6.5</c:v>
                </c:pt>
                <c:pt idx="7">
                  <c:v>-14</c:v>
                </c:pt>
                <c:pt idx="8">
                  <c:v>-12.38</c:v>
                </c:pt>
                <c:pt idx="9">
                  <c:v>#N/A</c:v>
                </c:pt>
                <c:pt idx="10">
                  <c:v>#N/A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7-451E-8FAB-70039CE24E7F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'CLE3'!$AI$2:$AI$13</c:f>
              <c:strCache>
                <c:ptCount val="12"/>
                <c:pt idx="0">
                  <c:v>1*ZSEX24-1*ZSEK25</c:v>
                </c:pt>
                <c:pt idx="1">
                  <c:v>1*ZSEF25-1*ZSEN25</c:v>
                </c:pt>
                <c:pt idx="2">
                  <c:v>1*ZSEH25-1*ZSEQ25</c:v>
                </c:pt>
                <c:pt idx="3">
                  <c:v>1*ZSEK25-1*ZSEU25</c:v>
                </c:pt>
                <c:pt idx="4">
                  <c:v>1*ZSEN25-1*ZSEX25</c:v>
                </c:pt>
                <c:pt idx="5">
                  <c:v>1*ZSEQ25-1*ZSEF26</c:v>
                </c:pt>
                <c:pt idx="6">
                  <c:v>1*ZSEU25-1*ZSEH26</c:v>
                </c:pt>
                <c:pt idx="7">
                  <c:v>1*ZSEX25-1*ZSEK26</c:v>
                </c:pt>
                <c:pt idx="8">
                  <c:v>1*ZSEF26-1*ZSEN26</c:v>
                </c:pt>
                <c:pt idx="9">
                  <c:v>1*ZSEH26-1*ZSEQ26</c:v>
                </c:pt>
                <c:pt idx="10">
                  <c:v>1*ZSEK26-1*ZSEU26</c:v>
                </c:pt>
                <c:pt idx="11">
                  <c:v>1*ZSEN26-1*ZSEX26</c:v>
                </c:pt>
              </c:strCache>
            </c:strRef>
          </c:cat>
          <c:val>
            <c:numRef>
              <c:f>'CLE3'!$K$16:$K$27</c:f>
              <c:numCache>
                <c:formatCode>General</c:formatCode>
                <c:ptCount val="12"/>
                <c:pt idx="0">
                  <c:v>-39.5</c:v>
                </c:pt>
                <c:pt idx="1">
                  <c:v>-37.75</c:v>
                </c:pt>
                <c:pt idx="2">
                  <c:v>-24.75</c:v>
                </c:pt>
                <c:pt idx="3">
                  <c:v>-2.75</c:v>
                </c:pt>
                <c:pt idx="4">
                  <c:v>5.5</c:v>
                </c:pt>
                <c:pt idx="5">
                  <c:v>-5.75</c:v>
                </c:pt>
                <c:pt idx="6">
                  <c:v>-17.5</c:v>
                </c:pt>
                <c:pt idx="7">
                  <c:v>-21.25</c:v>
                </c:pt>
                <c:pt idx="8">
                  <c:v>-17.5</c:v>
                </c:pt>
                <c:pt idx="9">
                  <c:v>-8.5</c:v>
                </c:pt>
                <c:pt idx="10">
                  <c:v>9</c:v>
                </c:pt>
                <c:pt idx="11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F7-451E-8FAB-70039CE24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20240"/>
        <c:axId val="238720800"/>
        <c:extLst/>
      </c:lineChart>
      <c:catAx>
        <c:axId val="2387202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20800"/>
        <c:crosses val="autoZero"/>
        <c:auto val="1"/>
        <c:lblAlgn val="ctr"/>
        <c:lblOffset val="100"/>
        <c:noMultiLvlLbl val="0"/>
      </c:catAx>
      <c:valAx>
        <c:axId val="23872080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3872024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'CLE5'!$AI$2:$AI$13</c:f>
              <c:strCache>
                <c:ptCount val="12"/>
                <c:pt idx="0">
                  <c:v>1*ZSEX24-1*ZSEQ25</c:v>
                </c:pt>
                <c:pt idx="1">
                  <c:v>1*ZSEF25-1*ZSEU25</c:v>
                </c:pt>
                <c:pt idx="2">
                  <c:v>1*ZSEH25-1*ZSEX25</c:v>
                </c:pt>
                <c:pt idx="3">
                  <c:v>1*ZSEK25-1*ZSEF26</c:v>
                </c:pt>
                <c:pt idx="4">
                  <c:v>1*ZSEN25-1*ZSEH26</c:v>
                </c:pt>
                <c:pt idx="5">
                  <c:v>1*ZSEQ25-1*ZSEK26</c:v>
                </c:pt>
                <c:pt idx="6">
                  <c:v>1*ZSEU25-1*ZSEN26</c:v>
                </c:pt>
                <c:pt idx="7">
                  <c:v>1*ZSEX25-1*ZSEQ26</c:v>
                </c:pt>
                <c:pt idx="8">
                  <c:v>1*ZSEF26-1*ZSEU26</c:v>
                </c:pt>
                <c:pt idx="9">
                  <c:v>1*ZSEH26-1*ZSEX26</c:v>
                </c:pt>
                <c:pt idx="10">
                  <c:v>1*ZSEK26-1*ZSEF27</c:v>
                </c:pt>
                <c:pt idx="11">
                  <c:v>1*ZSEN26-1*ZSEH27</c:v>
                </c:pt>
              </c:strCache>
            </c:strRef>
          </c:cat>
          <c:val>
            <c:numRef>
              <c:f>'CLE5'!$AG$2:$AG$13</c:f>
              <c:numCache>
                <c:formatCode>General</c:formatCode>
                <c:ptCount val="12"/>
                <c:pt idx="0">
                  <c:v>-47</c:v>
                </c:pt>
                <c:pt idx="1">
                  <c:v>-18</c:v>
                </c:pt>
                <c:pt idx="2">
                  <c:v>-4</c:v>
                </c:pt>
                <c:pt idx="3">
                  <c:v>-0.75</c:v>
                </c:pt>
                <c:pt idx="4">
                  <c:v>10.75</c:v>
                </c:pt>
                <c:pt idx="5">
                  <c:v>3.25</c:v>
                </c:pt>
                <c:pt idx="6">
                  <c:v>-19.25</c:v>
                </c:pt>
                <c:pt idx="7">
                  <c:v>#N/A</c:v>
                </c:pt>
                <c:pt idx="8">
                  <c:v>#N/A</c:v>
                </c:pt>
                <c:pt idx="9">
                  <c:v>4.13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B-4C5C-9272-C17FDB174FE2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'CLE5'!$AI$2:$AI$13</c:f>
              <c:strCache>
                <c:ptCount val="12"/>
                <c:pt idx="0">
                  <c:v>1*ZSEX24-1*ZSEQ25</c:v>
                </c:pt>
                <c:pt idx="1">
                  <c:v>1*ZSEF25-1*ZSEU25</c:v>
                </c:pt>
                <c:pt idx="2">
                  <c:v>1*ZSEH25-1*ZSEX25</c:v>
                </c:pt>
                <c:pt idx="3">
                  <c:v>1*ZSEK25-1*ZSEF26</c:v>
                </c:pt>
                <c:pt idx="4">
                  <c:v>1*ZSEN25-1*ZSEH26</c:v>
                </c:pt>
                <c:pt idx="5">
                  <c:v>1*ZSEQ25-1*ZSEK26</c:v>
                </c:pt>
                <c:pt idx="6">
                  <c:v>1*ZSEU25-1*ZSEN26</c:v>
                </c:pt>
                <c:pt idx="7">
                  <c:v>1*ZSEX25-1*ZSEQ26</c:v>
                </c:pt>
                <c:pt idx="8">
                  <c:v>1*ZSEF26-1*ZSEU26</c:v>
                </c:pt>
                <c:pt idx="9">
                  <c:v>1*ZSEH26-1*ZSEX26</c:v>
                </c:pt>
                <c:pt idx="10">
                  <c:v>1*ZSEK26-1*ZSEF27</c:v>
                </c:pt>
                <c:pt idx="11">
                  <c:v>1*ZSEN26-1*ZSEH27</c:v>
                </c:pt>
              </c:strCache>
            </c:strRef>
          </c:cat>
          <c:val>
            <c:numRef>
              <c:f>'CLE5'!$K$16:$K$27</c:f>
              <c:numCache>
                <c:formatCode>General</c:formatCode>
                <c:ptCount val="12"/>
                <c:pt idx="0">
                  <c:v>-50.5</c:v>
                </c:pt>
                <c:pt idx="1">
                  <c:v>-29.75</c:v>
                </c:pt>
                <c:pt idx="2">
                  <c:v>-19</c:v>
                </c:pt>
                <c:pt idx="3">
                  <c:v>-16.75</c:v>
                </c:pt>
                <c:pt idx="4">
                  <c:v>-9.5</c:v>
                </c:pt>
                <c:pt idx="5">
                  <c:v>-15.5</c:v>
                </c:pt>
                <c:pt idx="6">
                  <c:v>-31.5</c:v>
                </c:pt>
                <c:pt idx="7">
                  <c:v>-23.5</c:v>
                </c:pt>
                <c:pt idx="8">
                  <c:v>-0.75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B-4C5C-9272-C17FDB17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198328758510919E-2"/>
          <c:y val="3.2125498201613686E-2"/>
          <c:w val="0.96669607745568009"/>
          <c:h val="0.6716484281350295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CLE!$AI$2:$AI$13</c:f>
              <c:strCache>
                <c:ptCount val="12"/>
                <c:pt idx="0">
                  <c:v>1*ZSEX24-1*ZSEF25</c:v>
                </c:pt>
                <c:pt idx="1">
                  <c:v>1*ZSEF25-1*ZSEH25</c:v>
                </c:pt>
                <c:pt idx="2">
                  <c:v>1*ZSEH25-1*ZSEK25</c:v>
                </c:pt>
                <c:pt idx="3">
                  <c:v>1*ZSEK25-1*ZSEN25</c:v>
                </c:pt>
                <c:pt idx="4">
                  <c:v>1*ZSEN25-1*ZSEQ25</c:v>
                </c:pt>
                <c:pt idx="5">
                  <c:v>1*ZSEQ25-1*ZSEU25</c:v>
                </c:pt>
                <c:pt idx="6">
                  <c:v>1*ZSEU25-1*ZSEX25</c:v>
                </c:pt>
                <c:pt idx="7">
                  <c:v>1*ZSEX25-1*ZSEF26</c:v>
                </c:pt>
                <c:pt idx="8">
                  <c:v>1*ZSEF26-1*ZSEH26</c:v>
                </c:pt>
                <c:pt idx="9">
                  <c:v>1*ZSEH26-1*ZSEK26</c:v>
                </c:pt>
                <c:pt idx="10">
                  <c:v>1*ZSEK26-1*ZSEN26</c:v>
                </c:pt>
                <c:pt idx="11">
                  <c:v>1*ZSEN26-1*ZSEQ26</c:v>
                </c:pt>
              </c:strCache>
            </c:strRef>
          </c:cat>
          <c:val>
            <c:numRef>
              <c:f>CLE!$AG$2:$AG$13</c:f>
              <c:numCache>
                <c:formatCode>General</c:formatCode>
                <c:ptCount val="12"/>
                <c:pt idx="0">
                  <c:v>-12.5</c:v>
                </c:pt>
                <c:pt idx="1">
                  <c:v>-11.75</c:v>
                </c:pt>
                <c:pt idx="2">
                  <c:v>-12.5</c:v>
                </c:pt>
                <c:pt idx="3">
                  <c:v>-11</c:v>
                </c:pt>
                <c:pt idx="4">
                  <c:v>2</c:v>
                </c:pt>
                <c:pt idx="5">
                  <c:v>15</c:v>
                </c:pt>
                <c:pt idx="6">
                  <c:v>2.5</c:v>
                </c:pt>
                <c:pt idx="7">
                  <c:v>-9.25</c:v>
                </c:pt>
                <c:pt idx="8">
                  <c:v>0.25</c:v>
                </c:pt>
                <c:pt idx="9">
                  <c:v>-5.5</c:v>
                </c:pt>
                <c:pt idx="10">
                  <c:v>-7.5</c:v>
                </c:pt>
                <c:pt idx="11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 w="6350">
                <a:solidFill>
                  <a:srgbClr val="FF000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CLE!$AI$2:$AI$13</c:f>
              <c:strCache>
                <c:ptCount val="12"/>
                <c:pt idx="0">
                  <c:v>1*ZSEX24-1*ZSEF25</c:v>
                </c:pt>
                <c:pt idx="1">
                  <c:v>1*ZSEF25-1*ZSEH25</c:v>
                </c:pt>
                <c:pt idx="2">
                  <c:v>1*ZSEH25-1*ZSEK25</c:v>
                </c:pt>
                <c:pt idx="3">
                  <c:v>1*ZSEK25-1*ZSEN25</c:v>
                </c:pt>
                <c:pt idx="4">
                  <c:v>1*ZSEN25-1*ZSEQ25</c:v>
                </c:pt>
                <c:pt idx="5">
                  <c:v>1*ZSEQ25-1*ZSEU25</c:v>
                </c:pt>
                <c:pt idx="6">
                  <c:v>1*ZSEU25-1*ZSEX25</c:v>
                </c:pt>
                <c:pt idx="7">
                  <c:v>1*ZSEX25-1*ZSEF26</c:v>
                </c:pt>
                <c:pt idx="8">
                  <c:v>1*ZSEF26-1*ZSEH26</c:v>
                </c:pt>
                <c:pt idx="9">
                  <c:v>1*ZSEH26-1*ZSEK26</c:v>
                </c:pt>
                <c:pt idx="10">
                  <c:v>1*ZSEK26-1*ZSEN26</c:v>
                </c:pt>
                <c:pt idx="11">
                  <c:v>1*ZSEN26-1*ZSEQ26</c:v>
                </c:pt>
              </c:strCache>
            </c:strRef>
          </c:cat>
          <c:val>
            <c:numRef>
              <c:f>CLE!$K$16:$K$27</c:f>
              <c:numCache>
                <c:formatCode>General</c:formatCode>
                <c:ptCount val="12"/>
                <c:pt idx="0">
                  <c:v>-12.5</c:v>
                </c:pt>
                <c:pt idx="1">
                  <c:v>-13.25</c:v>
                </c:pt>
                <c:pt idx="2">
                  <c:v>-13.75</c:v>
                </c:pt>
                <c:pt idx="3">
                  <c:v>-10.75</c:v>
                </c:pt>
                <c:pt idx="4">
                  <c:v>-0.25</c:v>
                </c:pt>
                <c:pt idx="5">
                  <c:v>8.25</c:v>
                </c:pt>
                <c:pt idx="6">
                  <c:v>-2.5</c:v>
                </c:pt>
                <c:pt idx="7">
                  <c:v>-11.5</c:v>
                </c:pt>
                <c:pt idx="8">
                  <c:v>-3.5</c:v>
                </c:pt>
                <c:pt idx="9">
                  <c:v>-6.25</c:v>
                </c:pt>
                <c:pt idx="10">
                  <c:v>-7.75</c:v>
                </c:pt>
                <c:pt idx="11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575152828338964E-2"/>
          <c:y val="0.18245614035087721"/>
          <c:w val="0.9622474351689385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CLE!$L$16:$L$27</c:f>
              <c:strCache>
                <c:ptCount val="12"/>
                <c:pt idx="0">
                  <c:v>0</c:v>
                </c:pt>
                <c:pt idx="1">
                  <c:v>1.5</c:v>
                </c:pt>
                <c:pt idx="2">
                  <c:v>1.25</c:v>
                </c:pt>
                <c:pt idx="3">
                  <c:v>-0.25</c:v>
                </c:pt>
                <c:pt idx="4">
                  <c:v>2.25</c:v>
                </c:pt>
                <c:pt idx="5">
                  <c:v>6.75</c:v>
                </c:pt>
                <c:pt idx="6">
                  <c:v>5</c:v>
                </c:pt>
                <c:pt idx="7">
                  <c:v>2.25</c:v>
                </c:pt>
                <c:pt idx="8">
                  <c:v>3.75</c:v>
                </c:pt>
                <c:pt idx="9">
                  <c:v>0.75</c:v>
                </c:pt>
                <c:pt idx="10">
                  <c:v>0.25</c:v>
                </c:pt>
                <c:pt idx="11">
                  <c:v>-1.75</c:v>
                </c:pt>
              </c:strCache>
            </c:strRef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CLE!$AI$2:$AI$13</c:f>
              <c:strCache>
                <c:ptCount val="12"/>
                <c:pt idx="0">
                  <c:v>1*ZSEX24-1*ZSEF25</c:v>
                </c:pt>
                <c:pt idx="1">
                  <c:v>1*ZSEF25-1*ZSEH25</c:v>
                </c:pt>
                <c:pt idx="2">
                  <c:v>1*ZSEH25-1*ZSEK25</c:v>
                </c:pt>
                <c:pt idx="3">
                  <c:v>1*ZSEK25-1*ZSEN25</c:v>
                </c:pt>
                <c:pt idx="4">
                  <c:v>1*ZSEN25-1*ZSEQ25</c:v>
                </c:pt>
                <c:pt idx="5">
                  <c:v>1*ZSEQ25-1*ZSEU25</c:v>
                </c:pt>
                <c:pt idx="6">
                  <c:v>1*ZSEU25-1*ZSEX25</c:v>
                </c:pt>
                <c:pt idx="7">
                  <c:v>1*ZSEX25-1*ZSEF26</c:v>
                </c:pt>
                <c:pt idx="8">
                  <c:v>1*ZSEF26-1*ZSEH26</c:v>
                </c:pt>
                <c:pt idx="9">
                  <c:v>1*ZSEH26-1*ZSEK26</c:v>
                </c:pt>
                <c:pt idx="10">
                  <c:v>1*ZSEK26-1*ZSEN26</c:v>
                </c:pt>
                <c:pt idx="11">
                  <c:v>1*ZSEN26-1*ZSEQ26</c:v>
                </c:pt>
              </c:strCache>
            </c:strRef>
          </c:cat>
          <c:val>
            <c:numRef>
              <c:f>CLE!$L$16:$L$27</c:f>
              <c:numCache>
                <c:formatCode>General</c:formatCode>
                <c:ptCount val="12"/>
                <c:pt idx="0">
                  <c:v>0</c:v>
                </c:pt>
                <c:pt idx="1">
                  <c:v>1.5</c:v>
                </c:pt>
                <c:pt idx="2">
                  <c:v>1.25</c:v>
                </c:pt>
                <c:pt idx="3">
                  <c:v>-0.25</c:v>
                </c:pt>
                <c:pt idx="4">
                  <c:v>2.25</c:v>
                </c:pt>
                <c:pt idx="5">
                  <c:v>6.75</c:v>
                </c:pt>
                <c:pt idx="6">
                  <c:v>5</c:v>
                </c:pt>
                <c:pt idx="7">
                  <c:v>2.25</c:v>
                </c:pt>
                <c:pt idx="8">
                  <c:v>3.75</c:v>
                </c:pt>
                <c:pt idx="9">
                  <c:v>0.75</c:v>
                </c:pt>
                <c:pt idx="10">
                  <c:v>0.25</c:v>
                </c:pt>
                <c:pt idx="11">
                  <c:v>-1.75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F-41D7-9799-7C7EC8F5D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10176"/>
        <c:axId val="236410736"/>
      </c:barChart>
      <c:catAx>
        <c:axId val="236410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0736"/>
        <c:crosses val="autoZero"/>
        <c:auto val="1"/>
        <c:lblAlgn val="ctr"/>
        <c:lblOffset val="100"/>
        <c:noMultiLvlLbl val="0"/>
      </c:catAx>
      <c:valAx>
        <c:axId val="23641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0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69364976824978E-2"/>
          <c:y val="0.18245614035087721"/>
          <c:w val="0.95766362185257026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'CLE2'!$AI$2:$AI$13</c:f>
              <c:strCache>
                <c:ptCount val="12"/>
                <c:pt idx="0">
                  <c:v>1*ZSEX24-1*ZSEH25</c:v>
                </c:pt>
                <c:pt idx="1">
                  <c:v>1*ZSEF25-1*ZSEK25</c:v>
                </c:pt>
                <c:pt idx="2">
                  <c:v>1*ZSEH25-1*ZSEN25</c:v>
                </c:pt>
                <c:pt idx="3">
                  <c:v>1*ZSEK25-1*ZSEQ25</c:v>
                </c:pt>
                <c:pt idx="4">
                  <c:v>1*ZSEN25-1*ZSEU25</c:v>
                </c:pt>
                <c:pt idx="5">
                  <c:v>1*ZSEQ25-1*ZSEX25</c:v>
                </c:pt>
                <c:pt idx="6">
                  <c:v>1*ZSEU25-1*ZSEF26</c:v>
                </c:pt>
                <c:pt idx="7">
                  <c:v>1*ZSEX25-1*ZSEH26</c:v>
                </c:pt>
                <c:pt idx="8">
                  <c:v>1*ZSEF26-1*ZSEK26</c:v>
                </c:pt>
                <c:pt idx="9">
                  <c:v>1*ZSEH26-1*ZSEN26</c:v>
                </c:pt>
                <c:pt idx="10">
                  <c:v>1*ZSEK26-1*ZSEQ26</c:v>
                </c:pt>
                <c:pt idx="11">
                  <c:v>1*ZSEN26-1*ZSEU26</c:v>
                </c:pt>
              </c:strCache>
            </c:strRef>
          </c:cat>
          <c:val>
            <c:numRef>
              <c:f>'CLE2'!$L$16:$L$27</c:f>
              <c:numCache>
                <c:formatCode>General</c:formatCode>
                <c:ptCount val="12"/>
                <c:pt idx="0">
                  <c:v>0.25</c:v>
                </c:pt>
                <c:pt idx="1">
                  <c:v>2.5</c:v>
                </c:pt>
                <c:pt idx="2">
                  <c:v>1</c:v>
                </c:pt>
                <c:pt idx="3">
                  <c:v>2</c:v>
                </c:pt>
                <c:pt idx="4">
                  <c:v>9.25</c:v>
                </c:pt>
                <c:pt idx="5">
                  <c:v>12</c:v>
                </c:pt>
                <c:pt idx="6">
                  <c:v>7.25</c:v>
                </c:pt>
                <c:pt idx="7">
                  <c:v>6.25</c:v>
                </c:pt>
                <c:pt idx="8">
                  <c:v>4.75</c:v>
                </c:pt>
                <c:pt idx="9">
                  <c:v>1.25</c:v>
                </c:pt>
                <c:pt idx="10">
                  <c:v>0</c:v>
                </c:pt>
                <c:pt idx="11">
                  <c:v>-3.37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F0-4F0C-98B6-9EE9A4DB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12976"/>
        <c:axId val="236413536"/>
      </c:barChart>
      <c:catAx>
        <c:axId val="236412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3536"/>
        <c:crosses val="autoZero"/>
        <c:auto val="1"/>
        <c:lblAlgn val="ctr"/>
        <c:lblOffset val="100"/>
        <c:noMultiLvlLbl val="0"/>
      </c:catAx>
      <c:valAx>
        <c:axId val="23641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chart" Target="../charts/chart10.xml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12" Type="http://schemas.openxmlformats.org/officeDocument/2006/relationships/chart" Target="../charts/chart9.xml"/><Relationship Id="rId17" Type="http://schemas.openxmlformats.org/officeDocument/2006/relationships/chart" Target="../charts/chart14.xml"/><Relationship Id="rId2" Type="http://schemas.openxmlformats.org/officeDocument/2006/relationships/chart" Target="../charts/chart2.xml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11" Type="http://schemas.openxmlformats.org/officeDocument/2006/relationships/chart" Target="../charts/chart8.xml"/><Relationship Id="rId5" Type="http://schemas.openxmlformats.org/officeDocument/2006/relationships/chart" Target="../charts/chart5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chart" Target="../charts/chart4.xml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77</xdr:row>
      <xdr:rowOff>19050</xdr:rowOff>
    </xdr:from>
    <xdr:to>
      <xdr:col>22</xdr:col>
      <xdr:colOff>0</xdr:colOff>
      <xdr:row>88</xdr:row>
      <xdr:rowOff>114301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84</xdr:row>
      <xdr:rowOff>152400</xdr:rowOff>
    </xdr:from>
    <xdr:to>
      <xdr:col>21</xdr:col>
      <xdr:colOff>942975</xdr:colOff>
      <xdr:row>89</xdr:row>
      <xdr:rowOff>104775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809624</xdr:colOff>
      <xdr:row>9</xdr:row>
      <xdr:rowOff>114301</xdr:rowOff>
    </xdr:from>
    <xdr:to>
      <xdr:col>22</xdr:col>
      <xdr:colOff>19050</xdr:colOff>
      <xdr:row>23</xdr:row>
      <xdr:rowOff>161925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28576</xdr:colOff>
      <xdr:row>45</xdr:row>
      <xdr:rowOff>9525</xdr:rowOff>
    </xdr:from>
    <xdr:to>
      <xdr:col>21</xdr:col>
      <xdr:colOff>942976</xdr:colOff>
      <xdr:row>56</xdr:row>
      <xdr:rowOff>104776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47625</xdr:colOff>
      <xdr:row>60</xdr:row>
      <xdr:rowOff>180975</xdr:rowOff>
    </xdr:from>
    <xdr:to>
      <xdr:col>21</xdr:col>
      <xdr:colOff>942975</xdr:colOff>
      <xdr:row>72</xdr:row>
      <xdr:rowOff>85726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4400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6" y="43815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121</xdr:row>
      <xdr:rowOff>133350</xdr:rowOff>
    </xdr:from>
    <xdr:ext cx="718254" cy="169588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1793200"/>
          <a:ext cx="718254" cy="169588"/>
        </a:xfrm>
        <a:prstGeom prst="rect">
          <a:avLst/>
        </a:prstGeom>
      </xdr:spPr>
    </xdr:pic>
    <xdr:clientData/>
  </xdr:oneCellAnchor>
  <xdr:twoCellAnchor>
    <xdr:from>
      <xdr:col>9</xdr:col>
      <xdr:colOff>57151</xdr:colOff>
      <xdr:row>93</xdr:row>
      <xdr:rowOff>28576</xdr:rowOff>
    </xdr:from>
    <xdr:to>
      <xdr:col>22</xdr:col>
      <xdr:colOff>0</xdr:colOff>
      <xdr:row>102</xdr:row>
      <xdr:rowOff>114300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47625</xdr:colOff>
      <xdr:row>29</xdr:row>
      <xdr:rowOff>47625</xdr:rowOff>
    </xdr:from>
    <xdr:to>
      <xdr:col>22</xdr:col>
      <xdr:colOff>19049</xdr:colOff>
      <xdr:row>40</xdr:row>
      <xdr:rowOff>9525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38100</xdr:colOff>
      <xdr:row>36</xdr:row>
      <xdr:rowOff>95250</xdr:rowOff>
    </xdr:from>
    <xdr:to>
      <xdr:col>22</xdr:col>
      <xdr:colOff>76200</xdr:colOff>
      <xdr:row>41</xdr:row>
      <xdr:rowOff>47625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oneCellAnchor>
    <xdr:from>
      <xdr:col>1</xdr:col>
      <xdr:colOff>333375</xdr:colOff>
      <xdr:row>41</xdr:row>
      <xdr:rowOff>142875</xdr:rowOff>
    </xdr:from>
    <xdr:ext cx="583582" cy="13779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7448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41</xdr:row>
      <xdr:rowOff>123825</xdr:rowOff>
    </xdr:from>
    <xdr:ext cx="628473" cy="148390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74295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352425</xdr:colOff>
      <xdr:row>57</xdr:row>
      <xdr:rowOff>133350</xdr:rowOff>
    </xdr:from>
    <xdr:ext cx="583582" cy="137790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04870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466726</xdr:colOff>
      <xdr:row>57</xdr:row>
      <xdr:rowOff>114300</xdr:rowOff>
    </xdr:from>
    <xdr:ext cx="628473" cy="148390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1" y="104679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73</xdr:row>
      <xdr:rowOff>161925</xdr:rowOff>
    </xdr:from>
    <xdr:ext cx="583582" cy="137790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356360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73</xdr:row>
      <xdr:rowOff>142875</xdr:rowOff>
    </xdr:from>
    <xdr:ext cx="628473" cy="148390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1354455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89</xdr:row>
      <xdr:rowOff>171450</xdr:rowOff>
    </xdr:from>
    <xdr:ext cx="583582" cy="137790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66211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89</xdr:row>
      <xdr:rowOff>152400</xdr:rowOff>
    </xdr:from>
    <xdr:ext cx="628473" cy="148390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1" y="16602075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38100</xdr:colOff>
      <xdr:row>52</xdr:row>
      <xdr:rowOff>133350</xdr:rowOff>
    </xdr:from>
    <xdr:to>
      <xdr:col>22</xdr:col>
      <xdr:colOff>66674</xdr:colOff>
      <xdr:row>57</xdr:row>
      <xdr:rowOff>85725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38100</xdr:colOff>
      <xdr:row>68</xdr:row>
      <xdr:rowOff>161925</xdr:rowOff>
    </xdr:from>
    <xdr:to>
      <xdr:col>22</xdr:col>
      <xdr:colOff>95249</xdr:colOff>
      <xdr:row>73</xdr:row>
      <xdr:rowOff>114300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19049</xdr:colOff>
      <xdr:row>101</xdr:row>
      <xdr:rowOff>57150</xdr:rowOff>
    </xdr:from>
    <xdr:to>
      <xdr:col>22</xdr:col>
      <xdr:colOff>9525</xdr:colOff>
      <xdr:row>104</xdr:row>
      <xdr:rowOff>142875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19051</xdr:colOff>
      <xdr:row>20</xdr:row>
      <xdr:rowOff>123824</xdr:rowOff>
    </xdr:from>
    <xdr:to>
      <xdr:col>22</xdr:col>
      <xdr:colOff>19050</xdr:colOff>
      <xdr:row>25</xdr:row>
      <xdr:rowOff>76199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oneCellAnchor>
    <xdr:from>
      <xdr:col>1</xdr:col>
      <xdr:colOff>314325</xdr:colOff>
      <xdr:row>105</xdr:row>
      <xdr:rowOff>171450</xdr:rowOff>
    </xdr:from>
    <xdr:ext cx="583582" cy="137790"/>
    <xdr:pic>
      <xdr:nvPicPr>
        <xdr:cNvPr id="2" name="Picture 1">
          <a:extLst>
            <a:ext uri="{FF2B5EF4-FFF2-40B4-BE49-F238E27FC236}">
              <a16:creationId xmlns:a16="http://schemas.microsoft.com/office/drawing/2014/main" id="{04EB2261-31DE-4237-ADE5-AFDF38428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644967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105</xdr:row>
      <xdr:rowOff>152400</xdr:rowOff>
    </xdr:from>
    <xdr:ext cx="628473" cy="148390"/>
    <xdr:pic>
      <xdr:nvPicPr>
        <xdr:cNvPr id="3" name="Picture 2">
          <a:extLst>
            <a:ext uri="{FF2B5EF4-FFF2-40B4-BE49-F238E27FC236}">
              <a16:creationId xmlns:a16="http://schemas.microsoft.com/office/drawing/2014/main" id="{E1CA1AC0-75C7-414E-AE6A-502166732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1" y="16430625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57150</xdr:colOff>
      <xdr:row>109</xdr:row>
      <xdr:rowOff>0</xdr:rowOff>
    </xdr:from>
    <xdr:to>
      <xdr:col>21</xdr:col>
      <xdr:colOff>962024</xdr:colOff>
      <xdr:row>118</xdr:row>
      <xdr:rowOff>85724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7CCD20E-2B1B-4511-B34E-EAE089D90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19050</xdr:colOff>
      <xdr:row>117</xdr:row>
      <xdr:rowOff>95250</xdr:rowOff>
    </xdr:from>
    <xdr:to>
      <xdr:col>22</xdr:col>
      <xdr:colOff>9526</xdr:colOff>
      <xdr:row>121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39E7F7-1E91-425C-8109-8A898CDBD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T132"/>
  <sheetViews>
    <sheetView showGridLines="0" showRowColHeaders="0" tabSelected="1" zoomScaleNormal="100" workbookViewId="0">
      <selection activeCell="B4" sqref="B4:B5"/>
    </sheetView>
  </sheetViews>
  <sheetFormatPr defaultColWidth="9" defaultRowHeight="12.75" x14ac:dyDescent="0.2"/>
  <cols>
    <col min="1" max="1" width="0.875" style="1" customWidth="1"/>
    <col min="2" max="2" width="15.625" style="2" customWidth="1"/>
    <col min="3" max="6" width="9.625" style="2" customWidth="1"/>
    <col min="7" max="7" width="7.625" style="2" customWidth="1"/>
    <col min="8" max="8" width="8.625" style="2" customWidth="1"/>
    <col min="9" max="9" width="10.625" style="2" customWidth="1"/>
    <col min="10" max="10" width="5.625" style="2" customWidth="1"/>
    <col min="11" max="22" width="12.625" style="2" customWidth="1"/>
    <col min="23" max="23" width="10.75" style="2" customWidth="1"/>
    <col min="24" max="25" width="10.75" style="3" customWidth="1"/>
    <col min="26" max="35" width="9" style="3"/>
    <col min="36" max="16384" width="9" style="2"/>
  </cols>
  <sheetData>
    <row r="1" spans="1:46" ht="5.0999999999999996" customHeight="1" x14ac:dyDescent="0.2">
      <c r="C1" s="109">
        <f>IF(LEN(RTD("cqg.rtd", ,"ContractData", "Tsize("&amp;B4&amp;")", "LastQuoteToday",,"T"))=1,0,LEN(RTD("cqg.rtd", ,"ContractData", "Tsize("&amp;B4&amp;")", "LastQuoteToday",,"T"))-2)</f>
        <v>2</v>
      </c>
      <c r="D1" s="109" t="str" cm="1">
        <f t="array" ref="D1">_xlfn.IFS(C1=0,"#",C1=1,"#.0",C1=2,"#.00",C1=3,"#.000",C1=4,"#.0000",C1=5,"#.00000",C1=6,"#.000000",C1=7,"#.0000000")</f>
        <v>#.00</v>
      </c>
    </row>
    <row r="2" spans="1:46" ht="5.0999999999999996" customHeight="1" x14ac:dyDescent="0.2"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46" ht="12" customHeight="1" x14ac:dyDescent="0.3">
      <c r="B3" s="4" t="s">
        <v>36</v>
      </c>
      <c r="C3" s="168" t="str">
        <f>"CQG "&amp;RTD("cqg.rtd",,"ContractData",K6,"LongDescription")</f>
        <v>CQG Soybeans (Globex), Nov 24</v>
      </c>
      <c r="D3" s="168"/>
      <c r="E3" s="168"/>
      <c r="F3" s="168"/>
      <c r="G3" s="168"/>
      <c r="H3" s="168"/>
      <c r="I3" s="168"/>
      <c r="J3" s="169"/>
      <c r="K3" s="5" t="s">
        <v>29</v>
      </c>
      <c r="L3" s="5" t="s">
        <v>30</v>
      </c>
      <c r="M3" s="5" t="s">
        <v>31</v>
      </c>
      <c r="N3" s="155" t="str">
        <f>LEFT("CQG "&amp;RTD("cqg.rtd",,"ContractData",B4,"LongDescription"),LEN(C3)-8)&amp;" Forward Curves"</f>
        <v>CQG Soybeans (Globex) Forward Curves</v>
      </c>
      <c r="O3" s="155"/>
      <c r="P3" s="155"/>
      <c r="Q3" s="155"/>
      <c r="R3" s="155"/>
      <c r="S3" s="155"/>
      <c r="T3" s="155"/>
      <c r="U3" s="141">
        <f>RTD("cqg.rtd", ,"SystemInfo", "Linetime")</f>
        <v>45607.416365740741</v>
      </c>
      <c r="V3" s="142"/>
      <c r="W3" s="6"/>
      <c r="X3" s="6"/>
      <c r="Z3" s="2"/>
      <c r="AA3" s="2"/>
      <c r="AB3" s="2"/>
      <c r="AJ3" s="3"/>
      <c r="AK3" s="3"/>
      <c r="AL3" s="3"/>
      <c r="AM3" s="3"/>
      <c r="AN3" s="3"/>
      <c r="AO3" s="3"/>
      <c r="AP3" s="3"/>
    </row>
    <row r="4" spans="1:46" ht="12" customHeight="1" x14ac:dyDescent="0.2">
      <c r="B4" s="122" t="s">
        <v>46</v>
      </c>
      <c r="C4" s="168"/>
      <c r="D4" s="168"/>
      <c r="E4" s="168"/>
      <c r="F4" s="168"/>
      <c r="G4" s="168"/>
      <c r="H4" s="168"/>
      <c r="I4" s="168"/>
      <c r="J4" s="169"/>
      <c r="K4" s="110">
        <v>10</v>
      </c>
      <c r="L4" s="110">
        <v>15</v>
      </c>
      <c r="M4" s="110">
        <v>2024</v>
      </c>
      <c r="N4" s="156"/>
      <c r="O4" s="156"/>
      <c r="P4" s="156"/>
      <c r="Q4" s="156"/>
      <c r="R4" s="156"/>
      <c r="S4" s="156"/>
      <c r="T4" s="156"/>
      <c r="U4" s="143"/>
      <c r="V4" s="144"/>
      <c r="W4" s="7"/>
      <c r="X4" s="7"/>
      <c r="Z4" s="2"/>
      <c r="AA4" s="2"/>
      <c r="AB4" s="2"/>
      <c r="AJ4" s="3"/>
      <c r="AK4" s="3"/>
      <c r="AL4" s="3"/>
      <c r="AM4" s="3"/>
      <c r="AN4" s="3"/>
      <c r="AO4" s="3"/>
      <c r="AP4" s="3"/>
    </row>
    <row r="5" spans="1:46" ht="12" customHeight="1" x14ac:dyDescent="0.3">
      <c r="B5" s="122"/>
      <c r="C5" s="168"/>
      <c r="D5" s="168"/>
      <c r="E5" s="168"/>
      <c r="F5" s="168"/>
      <c r="G5" s="168"/>
      <c r="H5" s="168"/>
      <c r="I5" s="168"/>
      <c r="J5" s="169"/>
      <c r="K5" s="8"/>
      <c r="L5" s="9" t="s">
        <v>32</v>
      </c>
      <c r="M5" s="5" t="s">
        <v>35</v>
      </c>
      <c r="N5" s="157"/>
      <c r="O5" s="157"/>
      <c r="P5" s="157"/>
      <c r="Q5" s="157"/>
      <c r="R5" s="157"/>
      <c r="S5" s="157"/>
      <c r="T5" s="157"/>
      <c r="U5" s="145"/>
      <c r="V5" s="146"/>
      <c r="W5" s="6"/>
      <c r="X5" s="6"/>
      <c r="Z5" s="2"/>
      <c r="AA5" s="2"/>
      <c r="AB5" s="2"/>
      <c r="AJ5" s="3"/>
      <c r="AK5" s="3"/>
      <c r="AL5" s="3"/>
      <c r="AM5" s="3"/>
      <c r="AN5" s="3"/>
      <c r="AO5" s="3"/>
      <c r="AP5" s="3"/>
    </row>
    <row r="6" spans="1:46" ht="14.45" hidden="1" customHeight="1" x14ac:dyDescent="0.3">
      <c r="B6" s="10"/>
      <c r="C6" s="11"/>
      <c r="D6" s="11"/>
      <c r="E6" s="11"/>
      <c r="F6" s="11"/>
      <c r="G6" s="11"/>
      <c r="H6" s="11"/>
      <c r="I6" s="12"/>
      <c r="J6" s="11"/>
      <c r="K6" s="13" t="str">
        <f>RTD("cqg.rtd", ,"ContractData",CLE!Q2, "Symbol")</f>
        <v>ZSEX24</v>
      </c>
      <c r="L6" s="14" t="str">
        <f>RTD("cqg.rtd", ,"ContractData",CLE!Q3, "Symbol")</f>
        <v>ZSEF25</v>
      </c>
      <c r="M6" s="14" t="str">
        <f>RTD("cqg.rtd", ,"ContractData",CLE!Q4, "Symbol")</f>
        <v>ZSEH25</v>
      </c>
      <c r="N6" s="14" t="str">
        <f>RTD("cqg.rtd", ,"ContractData",CLE!Q5, "Symbol")</f>
        <v>ZSEK25</v>
      </c>
      <c r="O6" s="15" t="str">
        <f>RTD("cqg.rtd", ,"ContractData",CLE!Q6, "Symbol")</f>
        <v>ZSEN25</v>
      </c>
      <c r="P6" s="15" t="str">
        <f>RTD("cqg.rtd", ,"ContractData",CLE!Q7, "Symbol")</f>
        <v>ZSEQ25</v>
      </c>
      <c r="Q6" s="16" t="str">
        <f>RTD("cqg.rtd", ,"ContractData",CLE!Q8, "Symbol")</f>
        <v>ZSEU25</v>
      </c>
      <c r="R6" s="17" t="str">
        <f>RTD("cqg.rtd", ,"ContractData",CLE!Q9, "Symbol")</f>
        <v>ZSEX25</v>
      </c>
      <c r="S6" s="17" t="str">
        <f>RTD("cqg.rtd", ,"ContractData",CLE!Q10, "Symbol")</f>
        <v>ZSEF26</v>
      </c>
      <c r="T6" s="17" t="str">
        <f>IFERROR(RTD("cqg.rtd", ,"ContractData",CLE!Q11, "Symbol"),"")</f>
        <v>ZSEH26</v>
      </c>
      <c r="U6" s="17" t="str">
        <f>IFERROR(RTD("cqg.rtd", ,"ContractData",CLE!Q12, "Symbol"),"")</f>
        <v>ZSEK26</v>
      </c>
      <c r="V6" s="18" t="str">
        <f>IFERROR(RTD("cqg.rtd", ,"ContractData",CLE!Q13, "Symbol"),"")</f>
        <v>ZSEN26</v>
      </c>
      <c r="W6" s="6"/>
      <c r="X6" s="6"/>
      <c r="Z6" s="2" t="str">
        <f>LEFT(RIGHT(E7,2),1)</f>
        <v/>
      </c>
      <c r="AA6" s="2"/>
      <c r="AB6" s="2" t="str">
        <f>LEFT(RIGHT(G7,2),1)</f>
        <v/>
      </c>
      <c r="AC6" s="3" t="str">
        <f>LEFT(RIGHT(H7,2),1)</f>
        <v/>
      </c>
      <c r="AD6" s="3" t="str">
        <f>LEFT(RIGHT(I7,2),1)</f>
        <v/>
      </c>
      <c r="AE6" s="3" t="str">
        <f>LEFT(RIGHT(K6,3),1)</f>
        <v>X</v>
      </c>
      <c r="AF6" s="3" t="str">
        <f>LEFT(RIGHT(L6,3),1)</f>
        <v>F</v>
      </c>
      <c r="AG6" s="3" t="str">
        <f t="shared" ref="AG6:AN6" si="0">LEFT(RIGHT(M6,3),1)</f>
        <v>H</v>
      </c>
      <c r="AH6" s="3" t="str">
        <f t="shared" si="0"/>
        <v>K</v>
      </c>
      <c r="AI6" s="3" t="str">
        <f t="shared" si="0"/>
        <v>N</v>
      </c>
      <c r="AJ6" s="3" t="str">
        <f t="shared" si="0"/>
        <v>Q</v>
      </c>
      <c r="AK6" s="3" t="str">
        <f t="shared" si="0"/>
        <v>U</v>
      </c>
      <c r="AL6" s="3" t="str">
        <f t="shared" si="0"/>
        <v>X</v>
      </c>
      <c r="AM6" s="3" t="str">
        <f t="shared" si="0"/>
        <v>F</v>
      </c>
      <c r="AN6" s="3" t="str">
        <f t="shared" si="0"/>
        <v>H</v>
      </c>
      <c r="AO6" s="3" t="str">
        <f>LEFT(RIGHT(U6,3),1)</f>
        <v>K</v>
      </c>
      <c r="AP6" s="3" t="str">
        <f>LEFT(RIGHT(V6,3),1)</f>
        <v>N</v>
      </c>
      <c r="AQ6" s="3" t="str">
        <f>LEFT(RIGHT(W6,2),1)</f>
        <v/>
      </c>
      <c r="AR6" s="3" t="str">
        <f>LEFT(RIGHT(X6,2),1)</f>
        <v/>
      </c>
      <c r="AS6" s="3"/>
      <c r="AT6" s="3"/>
    </row>
    <row r="7" spans="1:46" ht="14.45" customHeight="1" x14ac:dyDescent="0.2">
      <c r="B7" s="153" t="s">
        <v>1</v>
      </c>
      <c r="C7" s="123">
        <f>RTD("cqg.rtd", ,"ContractData",K6, "MT_LastAskVolume")</f>
        <v>1</v>
      </c>
      <c r="D7" s="127" t="str">
        <f>TEXT(RTD("cqg.rtd", ,"ContractData",K6, "Ask",,"T"),D1)</f>
        <v>1016.00</v>
      </c>
      <c r="E7" s="128"/>
      <c r="F7" s="131" t="s">
        <v>14</v>
      </c>
      <c r="G7" s="132"/>
      <c r="H7" s="132"/>
      <c r="I7" s="132"/>
      <c r="J7" s="115"/>
      <c r="K7" s="19" t="str">
        <f t="shared" ref="K7:Q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20" t="str">
        <f t="shared" si="1"/>
        <v>JAN</v>
      </c>
      <c r="M7" s="20" t="str">
        <f>IF(AG6="F","JAN",IF(AG6="G","FEB",IF(AG6="H","MAR",IF(AG6="J","APR",IF(AG6="K","MAY",IF(AG6="M","JUN",IF(AG6="N","JUL",IF(AG6="Q","AUG",IF(AG6="U","SEP",IF(AG6="V","OCT",IF(AG6="X","NOV",IF(AG6="Z","DEC",))))))))))))</f>
        <v>MAR</v>
      </c>
      <c r="N7" s="20" t="str">
        <f t="shared" si="1"/>
        <v>MAY</v>
      </c>
      <c r="O7" s="20" t="str">
        <f t="shared" si="1"/>
        <v>JUL</v>
      </c>
      <c r="P7" s="20" t="str">
        <f t="shared" si="1"/>
        <v>AUG</v>
      </c>
      <c r="Q7" s="20" t="str">
        <f t="shared" si="1"/>
        <v>SEP</v>
      </c>
      <c r="R7" s="20" t="str">
        <f>IF(AL6="F","JAN",IF(AL6="G","FEB",IF(AL6="H","MAR",IF(AL6="J","APR",IF(AL6="K","MAY",IF(AL6="M","JUN",IF(AL6="N","JUL",IF(AL6="Q","AUG",IF(AL6="U","SEP",IF(AL6="V","OCT",IF(AL6="X","NOV",IF(AL6="Z","DEC",))))))))))))</f>
        <v>NOV</v>
      </c>
      <c r="S7" s="20" t="str">
        <f>IF(AM6="F","JAN",IF(AM6="G","FEB",IF(AM6="H","MAR",IF(AM6="J","APR",IF(AM6="K","MAY",IF(AM6="M","JUN",IF(AM6="N","JUL",IF(AM6="Q","AUG",IF(AM6="U","SEP",IF(AM6="V","OCT",IF(AM6="X","NOV",IF(AM6="Z","DEC",))))))))))))</f>
        <v>JAN</v>
      </c>
      <c r="T7" s="20" t="str">
        <f>IF(T6="","",IF(AN6="F","JAN",IF(AN6="G","FEB",IF(AN6="H","MAR",IF(AN6="J","APR",IF(AN6="K","MAY",IF(AN6="M","JUN",IF(AN6="N","JUL",IF(AN6="Q","AUG",IF(AN6="U","SEP",IF(AN6="V","OCT",IF(AN6="X","NOV",IF(AN6="Z","DEC",)))))))))))))</f>
        <v>MAR</v>
      </c>
      <c r="U7" s="20" t="str">
        <f>IF(U6="","",IF(AO6="F","JAN",IF(AO6="G","FEB",IF(AO6="H","MAR",IF(AO6="J","APR",IF(AO6="K","MAY",IF(AO6="M","JUN",IF(AO6="N","JUL",IF(AO6="Q","AUG",IF(AO6="U","SEP",IF(AO6="V","OCT",IF(AO6="X","NOV",IF(AO6="Z","DEC",)))))))))))))</f>
        <v>MAY</v>
      </c>
      <c r="V7" s="21" t="str">
        <f>IF(V6="","",IF(AP6="F","JAN",IF(AP6="G","FEB",IF(AP6="H","MAR",IF(AP6="J","APR",IF(AP6="K","MAY",IF(AP6="M","JUN",IF(AP6="N","JUL",IF(AP6="Q","AUG",IF(AP6="U","SEP",IF(AP6="V","OCT",IF(AP6="X","NOV",IF(AP6="Z","DEC",)))))))))))))</f>
        <v>JUL</v>
      </c>
      <c r="W7" s="7"/>
      <c r="X7" s="7"/>
      <c r="Z7" s="2"/>
      <c r="AA7" s="2"/>
      <c r="AB7" s="2"/>
      <c r="AJ7" s="3"/>
      <c r="AK7" s="3"/>
      <c r="AL7" s="3"/>
      <c r="AM7" s="3"/>
      <c r="AN7" s="3"/>
      <c r="AO7" s="3"/>
      <c r="AP7" s="3"/>
    </row>
    <row r="8" spans="1:46" ht="14.45" customHeight="1" x14ac:dyDescent="0.3">
      <c r="B8" s="154"/>
      <c r="C8" s="124"/>
      <c r="D8" s="129"/>
      <c r="E8" s="130"/>
      <c r="F8" s="133"/>
      <c r="G8" s="134"/>
      <c r="H8" s="134"/>
      <c r="I8" s="134"/>
      <c r="J8" s="115"/>
      <c r="K8" s="22" t="str">
        <f>IF(RTD("cqg.rtd",,"ContractData",K6,"Ask",,"T")="","",TEXT(RTD("cqg.rtd",,"ContractData",K6,"Ask",,"T"),$D$1)&amp;" "&amp;"A")</f>
        <v>1016.00 A</v>
      </c>
      <c r="L8" s="22" t="str">
        <f>IF(RTD("cqg.rtd",,"ContractData",L6,"Ask",,"T")="","",TEXT(RTD("cqg.rtd",,"ContractData",L6,"Ask",,"T"),$D$1)&amp;" "&amp;"A")</f>
        <v>1027.25 A</v>
      </c>
      <c r="M8" s="22" t="str">
        <f>IF(RTD("cqg.rtd",,"ContractData",M6,"Ask",,"T")="","",TEXT(RTD("cqg.rtd",,"ContractData",M6,"Ask",,"T"),$D$1)&amp;" "&amp;"A")</f>
        <v>1039.00 A</v>
      </c>
      <c r="N8" s="22" t="str">
        <f>IF(RTD("cqg.rtd",,"ContractData",N6,"Ask",,"T")="","",TEXT(RTD("cqg.rtd",,"ContractData",N6,"Ask",,"T"),$D$1)&amp;" "&amp;"A")</f>
        <v>1051.75 A</v>
      </c>
      <c r="O8" s="22" t="str">
        <f>IF(RTD("cqg.rtd",,"ContractData",O6,"Ask",,"T")="","",TEXT(RTD("cqg.rtd",,"ContractData",O6,"Ask",,"T"),$D$1)&amp;" "&amp;"A")</f>
        <v>1062.75 A</v>
      </c>
      <c r="P8" s="22" t="str">
        <f>IF(RTD("cqg.rtd",,"ContractData",P6,"Ask",,"T")="","",TEXT(RTD("cqg.rtd",,"ContractData",P6,"Ask",,"T"),$D$1)&amp;" "&amp;"A")</f>
        <v>1060.50 A</v>
      </c>
      <c r="Q8" s="22" t="str">
        <f>IF(RTD("cqg.rtd",,"ContractData",Q6,"Ask",,"T")="","",TEXT(RTD("cqg.rtd",,"ContractData",Q6,"Ask",,"T"),$D$1)&amp;" "&amp;"A")</f>
        <v>1045.50 A</v>
      </c>
      <c r="R8" s="22" t="str">
        <f>IF(RTD("cqg.rtd",,"ContractData",R6,"Ask",,"T")="","",TEXT(RTD("cqg.rtd",,"ContractData",R6,"Ask",,"T"),$D$1)&amp;" "&amp;"A")</f>
        <v>1043.25 A</v>
      </c>
      <c r="S8" s="22" t="str">
        <f>IF(RTD("cqg.rtd",,"ContractData",S6,"Ask",,"T")="","",TEXT(RTD("cqg.rtd",,"ContractData",S6,"Ask",,"T"),$D$1)&amp;" "&amp;"A")</f>
        <v>1052.50 A</v>
      </c>
      <c r="T8" s="22" t="str">
        <f>IF(T6="","",IF(RTD("cqg.rtd",,"ContractData",T6,"Ask",,"T")="","",TEXT(RTD("cqg.rtd",,"ContractData",T6,"Ask",,"T"),$D$1)&amp;" "&amp;"A"))</f>
        <v>1052.25 A</v>
      </c>
      <c r="U8" s="22" t="str">
        <f>IF(U6="","",IF(RTD("cqg.rtd",,"ContractData",U6,"Ask",,"T")="","",TEXT(RTD("cqg.rtd",,"ContractData",U6,"Ask",,"T"),$D$1)&amp;" "&amp;"A"))</f>
        <v>1057.75 A</v>
      </c>
      <c r="V8" s="22" t="str">
        <f>IF(V6="","",IF(RTD("cqg.rtd",,"ContractData",V6,"Ask",,"T")="","",TEXT(RTD("cqg.rtd",,"ContractData",V6,"Ask",,"T"),$D$1)&amp;" "&amp;"A"))</f>
        <v>1065.50 A</v>
      </c>
      <c r="W8" s="6"/>
      <c r="X8" s="6"/>
      <c r="Z8" s="2"/>
      <c r="AA8" s="2"/>
      <c r="AB8" s="2"/>
      <c r="AJ8" s="3"/>
      <c r="AK8" s="3"/>
      <c r="AL8" s="3"/>
      <c r="AM8" s="3"/>
      <c r="AN8" s="3"/>
      <c r="AO8" s="3"/>
      <c r="AP8" s="3"/>
    </row>
    <row r="9" spans="1:46" ht="14.45" customHeight="1" x14ac:dyDescent="0.3">
      <c r="B9" s="125" t="s">
        <v>0</v>
      </c>
      <c r="C9" s="158">
        <f>RTD("cqg.rtd", ,"ContractData",K6, "MT_LastBidVolume")</f>
        <v>2</v>
      </c>
      <c r="D9" s="160" t="str">
        <f>TEXT(RTD("cqg.rtd", ,"ContractData",K6, "Bid",,"T"),D1)</f>
        <v>1014.50</v>
      </c>
      <c r="E9" s="160"/>
      <c r="F9" s="162" t="str">
        <f>TEXT(RTD("cqg.rtd", ,"ContractData",K6,"LastTradeorSettle",,"T"),D1)</f>
        <v>1017.25</v>
      </c>
      <c r="G9" s="163"/>
      <c r="H9" s="166" t="str">
        <f>IF(G13&gt;0,"+"&amp;TEXT(RTD("cqg.rtd",,"ContractData",K6,"NetLastTradeToday",,"T"),D1),TEXT(G13,$D$1))</f>
        <v>+.50</v>
      </c>
      <c r="I9" s="166"/>
      <c r="J9" s="115"/>
      <c r="K9" s="22" t="str">
        <f>IF(RTD("cqg.rtd",,"ContractData",K6,"Bid",,"T")="","",TEXT(RTD("cqg.rtd",,"ContractData",K6,"Bid",,"T"),$D$1)&amp;" "&amp;"B")</f>
        <v>1014.50 B</v>
      </c>
      <c r="L9" s="22" t="str">
        <f>IF(RTD("cqg.rtd",,"ContractData",L6,"Bid",,"T")="","",TEXT(RTD("cqg.rtd",,"ContractData",L6,"Bid",,"T"),$D$1)&amp;" "&amp;"B")</f>
        <v>1027.00 B</v>
      </c>
      <c r="M9" s="22" t="str">
        <f>IF(RTD("cqg.rtd",,"ContractData",M6,"Bid",,"T")="","",TEXT(RTD("cqg.rtd",,"ContractData",M6,"Bid",,"T"),$D$1)&amp;" "&amp;"B")</f>
        <v>1038.75 B</v>
      </c>
      <c r="N9" s="22" t="str">
        <f>IF(RTD("cqg.rtd",,"ContractData",N6,"Bid",,"T")="","",TEXT(RTD("cqg.rtd",,"ContractData",N6,"Bid",,"T"),$D$1)&amp;" "&amp;"B")</f>
        <v>1051.25 B</v>
      </c>
      <c r="O9" s="22" t="str">
        <f>IF(RTD("cqg.rtd",,"ContractData",O6,"Bid",,"T")="","",TEXT(RTD("cqg.rtd",,"ContractData",O6,"Bid",,"T"),$D$1)&amp;" "&amp;"B")</f>
        <v>1062.25 B</v>
      </c>
      <c r="P9" s="22" t="str">
        <f>IF(RTD("cqg.rtd",,"ContractData",P6,"Bid",,"T")="","",TEXT(RTD("cqg.rtd",,"ContractData",P6,"Bid",,"T"),$D$1)&amp;" "&amp;"B")</f>
        <v>1060.00 B</v>
      </c>
      <c r="Q9" s="22" t="str">
        <f>IF(RTD("cqg.rtd",,"ContractData",Q6,"Bid",,"T")="","",TEXT(RTD("cqg.rtd",,"ContractData",Q6,"Bid",,"T"),$D$1)&amp;" "&amp;"B")</f>
        <v>1045.00 B</v>
      </c>
      <c r="R9" s="22" t="str">
        <f>IF(RTD("cqg.rtd",,"ContractData",R6,"Bid",,"T")="","",TEXT(RTD("cqg.rtd",,"ContractData",R6,"Bid",,"T"),$D$1)&amp;" "&amp;"B")</f>
        <v>1042.75 B</v>
      </c>
      <c r="S9" s="22" t="str">
        <f>IF(RTD("cqg.rtd",,"ContractData",S6,"Bid",,"T")="","",TEXT(RTD("cqg.rtd",,"ContractData",S6,"Bid",,"T"),$D$1)&amp;" "&amp;"B")</f>
        <v>1051.75 B</v>
      </c>
      <c r="T9" s="22" t="str">
        <f>IF(T6="","",IF(RTD("cqg.rtd",,"ContractData",T6,"Bid",,"T")="","",TEXT(RTD("cqg.rtd",,"ContractData",T6,"Bid",,"T"),$D$1)&amp;" "&amp;"B"))</f>
        <v>1051.25 B</v>
      </c>
      <c r="U9" s="22" t="str">
        <f>IF(U6="","",IF(RTD("cqg.rtd",,"ContractData",U6,"Bid",,"T")="","",TEXT(RTD("cqg.rtd",,"ContractData",U6,"Bid",,"T"),$D$1)&amp;" "&amp;"B"))</f>
        <v>1056.25 B</v>
      </c>
      <c r="V9" s="22" t="str">
        <f>IF(V6="","",IF(RTD("cqg.rtd",,"ContractData",V6,"Bid",,"T")="","",TEXT(RTD("cqg.rtd",,"ContractData",V6,"Bid",,"T"),$D$1)&amp;" "&amp;"B"))</f>
        <v>1063.50 B</v>
      </c>
      <c r="W9" s="6"/>
      <c r="X9" s="6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46" ht="14.45" customHeight="1" x14ac:dyDescent="0.3">
      <c r="B10" s="126"/>
      <c r="C10" s="159"/>
      <c r="D10" s="161"/>
      <c r="E10" s="161"/>
      <c r="F10" s="164"/>
      <c r="G10" s="165"/>
      <c r="H10" s="167"/>
      <c r="I10" s="167"/>
      <c r="J10" s="115"/>
      <c r="K10" s="22" t="str">
        <f>IF(RTD("cqg.rtd", ,"ContractData",K6,"LastTradeorSettle",,"T")="","",TEXT(RTD("cqg.rtd", ,"ContractData",K6,"LastTradeorSettle",,"T"),$D$1)&amp;" "&amp;"L")</f>
        <v>1017.25 L</v>
      </c>
      <c r="L10" s="22" t="str">
        <f>IF(RTD("cqg.rtd", ,"ContractData",L6,"LastTradeorSettle",,"T")="","",TEXT(RTD("cqg.rtd", ,"ContractData",L6,"LastTradeorSettle",,"T"),$D$1)&amp;" "&amp;"L")</f>
        <v>1027.25 L</v>
      </c>
      <c r="M10" s="22" t="str">
        <f>IF(RTD("cqg.rtd", ,"ContractData",M6,"LastTradeorSettle",,"T")="","",TEXT(RTD("cqg.rtd", ,"ContractData",M6,"LastTradeorSettle",,"T"),$D$1)&amp;" "&amp;"L")</f>
        <v>1039.00 L</v>
      </c>
      <c r="N10" s="22" t="str">
        <f>IF(RTD("cqg.rtd", ,"ContractData",N6,"LastTradeorSettle",,"T")="","",TEXT(RTD("cqg.rtd", ,"ContractData",N6,"LastTradeorSettle",,"T"),$D$1)&amp;" "&amp;"L")</f>
        <v>1051.25 L</v>
      </c>
      <c r="O10" s="22" t="str">
        <f>IF(RTD("cqg.rtd", ,"ContractData",O6,"LastTradeorSettle",,"T")="","",TEXT(RTD("cqg.rtd", ,"ContractData",O6,"LastTradeorSettle",,"T"),$D$1)&amp;" "&amp;"L")</f>
        <v>1062.50 L</v>
      </c>
      <c r="P10" s="22" t="str">
        <f>IF(RTD("cqg.rtd", ,"ContractData",P6,"LastTradeorSettle",,"T")="","",TEXT(RTD("cqg.rtd", ,"ContractData",P6,"LastTradeorSettle",,"T"),$D$1)&amp;" "&amp;"L")</f>
        <v>1060.50 L</v>
      </c>
      <c r="Q10" s="22" t="str">
        <f>IF(RTD("cqg.rtd", ,"ContractData",Q6,"LastTradeorSettle",,"T")="","",TEXT(RTD("cqg.rtd", ,"ContractData",Q6,"LastTradeorSettle",,"T"),$D$1)&amp;" "&amp;"L")</f>
        <v>1046.00 L</v>
      </c>
      <c r="R10" s="22" t="str">
        <f>IF(RTD("cqg.rtd", ,"ContractData",R6,"LastTradeorSettle",,"T")="","",TEXT(RTD("cqg.rtd", ,"ContractData",R6,"LastTradeorSettle",,"T"),$D$1)&amp;" "&amp;"L")</f>
        <v>1043.00 L</v>
      </c>
      <c r="S10" s="22" t="str">
        <f>IF(RTD("cqg.rtd", ,"ContractData",S6,"LastTradeorSettle",,"T")="","",TEXT(RTD("cqg.rtd", ,"ContractData",S6,"LastTradeorSettle",,"T"),$D$1)&amp;" "&amp;"L")</f>
        <v>1052.25 L</v>
      </c>
      <c r="T10" s="22" t="str">
        <f>IF(T6="","",IF(RTD("cqg.rtd", ,"ContractData",T6,"LastTradeorSettle",,"T")="","",TEXT(RTD("cqg.rtd", ,"ContractData",T6,"LastTradeorSettle",,"T"),$D$1)&amp;" "&amp;"L"))</f>
        <v>1051.75 L</v>
      </c>
      <c r="U10" s="22" t="str">
        <f>IF(U6="","",IF(RTD("cqg.rtd", ,"ContractData",U6,"LastTradeorSettle",,"T")="","",TEXT(RTD("cqg.rtd", ,"ContractData",U6,"LastTradeorSettle",,"T"),$D$1)&amp;" "&amp;"L"))</f>
        <v>1064.00 L</v>
      </c>
      <c r="V10" s="22" t="str">
        <f>IF(V6="","",IF(RTD("cqg.rtd", ,"ContractData",V6,"LastTradeorSettle",,"T")="","",TEXT(RTD("cqg.rtd", ,"ContractData",V6,"LastTradeorSettle",,"T"),$D$1)&amp;" "&amp;"L"))</f>
        <v>1065.75 L</v>
      </c>
      <c r="W10" s="6"/>
      <c r="X10" s="6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46" ht="14.45" hidden="1" customHeight="1" x14ac:dyDescent="0.3">
      <c r="B11" s="23"/>
      <c r="C11" s="24"/>
      <c r="D11" s="25"/>
      <c r="E11" s="25"/>
      <c r="F11" s="26"/>
      <c r="G11" s="26"/>
      <c r="H11" s="26"/>
      <c r="I11" s="26"/>
      <c r="J11" s="27"/>
      <c r="K11" s="28"/>
      <c r="L11" s="29" t="str">
        <f>RTD("cqg.rtd", ,"ContractData",CLE!D2, "Symbol")</f>
        <v>ZSES1X24</v>
      </c>
      <c r="M11" s="29" t="str">
        <f>RTD("cqg.rtd", ,"ContractData",CLE!E2, "Symbol")</f>
        <v>ZSES1F25</v>
      </c>
      <c r="N11" s="29" t="str">
        <f>RTD("cqg.rtd", ,"ContractData",CLE!F2, "Symbol")</f>
        <v>ZSES1H25</v>
      </c>
      <c r="O11" s="29" t="str">
        <f>RTD("cqg.rtd", ,"ContractData",CLE!G2, "Symbol")</f>
        <v>ZSES1K25</v>
      </c>
      <c r="P11" s="29" t="str">
        <f>RTD("cqg.rtd", ,"ContractData",CLE!H2, "Symbol")</f>
        <v>ZSES1N25</v>
      </c>
      <c r="Q11" s="29" t="str">
        <f>RTD("cqg.rtd", ,"ContractData",CLE!I2, "Symbol")</f>
        <v>ZSES1Q25</v>
      </c>
      <c r="R11" s="29" t="str">
        <f>RTD("cqg.rtd", ,"ContractData",CLE!J2, "Symbol")</f>
        <v>ZSES1U25</v>
      </c>
      <c r="S11" s="29" t="str">
        <f>RTD("cqg.rtd", ,"ContractData",CLE!K2, "Symbol")</f>
        <v>ZSES1X25</v>
      </c>
      <c r="T11" s="29" t="str">
        <f>RTD("cqg.rtd", ,"ContractData",CLE!L2, "Symbol")</f>
        <v>ZSES1F26</v>
      </c>
      <c r="U11" s="29" t="str">
        <f>RTD("cqg.rtd", ,"ContractData",CLE!M2, "Symbol")</f>
        <v>ZSES1H26</v>
      </c>
      <c r="V11" s="29" t="str">
        <f>RTD("cqg.rtd", ,"ContractData",CLE!N2, "Symbol")</f>
        <v>ZSES1K26</v>
      </c>
      <c r="W11" s="30" t="str">
        <f>RTD("cqg.rtd", ,"ContractData",CLE!O2, "Symbol")</f>
        <v>ZSES1N26</v>
      </c>
      <c r="X11" s="31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46" ht="14.45" customHeight="1" x14ac:dyDescent="0.2">
      <c r="B12" s="32" t="s">
        <v>16</v>
      </c>
      <c r="C12" s="33" t="s">
        <v>9</v>
      </c>
      <c r="D12" s="33" t="s">
        <v>10</v>
      </c>
      <c r="E12" s="33" t="s">
        <v>11</v>
      </c>
      <c r="F12" s="33" t="s">
        <v>8</v>
      </c>
      <c r="G12" s="33" t="s">
        <v>12</v>
      </c>
      <c r="H12" s="33" t="s">
        <v>12</v>
      </c>
      <c r="I12" s="34" t="s">
        <v>13</v>
      </c>
      <c r="J12" s="3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7"/>
      <c r="W12" s="38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46" ht="14.45" customHeight="1" x14ac:dyDescent="0.3">
      <c r="A13" s="1" t="str">
        <f>CLE!Q2</f>
        <v>ZSEX24</v>
      </c>
      <c r="B13" s="39" t="str">
        <f>IFERROR(RIGHT(RTD("cqg.rtd",,"ContractData",A13, "LongDescription"),7),"")</f>
        <v xml:space="preserve"> Nov 24</v>
      </c>
      <c r="C13" s="40" t="str">
        <f>IFERROR(TEXT(RTD("cqg.rtd", ,"ContractData",A13, "Open",,"T"),$D$1),"")</f>
        <v>1020.75</v>
      </c>
      <c r="D13" s="40" t="str">
        <f>IFERROR(TEXT(RTD("cqg.rtd", ,"ContractData",A13, "High",,"T"),$D$1),"")</f>
        <v>1025.75</v>
      </c>
      <c r="E13" s="40" t="str">
        <f>IFERROR(TEXT(RTD("cqg.rtd", ,"ContractData",A13, "Low",,"T"),$D$1),"")</f>
        <v>1017.00</v>
      </c>
      <c r="F13" s="40" t="str">
        <f>IFERROR(TEXT(RTD("cqg.rtd", ,"ContractData",A13, "LastTradeorSettle",,"T"),$D$1),"")</f>
        <v>1017.25</v>
      </c>
      <c r="G13" s="40">
        <f>IFERROR(TEXT(RTD("cqg.rtd",,"ContractData",A13,"NetLastTradeToday",,"T"),$D$1)*1,"")</f>
        <v>0.5</v>
      </c>
      <c r="H13" s="40">
        <f>IFERROR(TEXT(RTD("cqg.rtd",,"ContractData",A13,"NetLastTradeToday",,"T"),$D$1)*1,"")</f>
        <v>0.5</v>
      </c>
      <c r="I13" s="41">
        <f>IFERROR(RTD("cqg.rtd", ,"ContractData",A13, "T_CVol"),"")</f>
        <v>86</v>
      </c>
      <c r="J13" s="42"/>
      <c r="K13" s="151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4"/>
      <c r="W13" s="43"/>
      <c r="X13" s="6"/>
      <c r="Y13" s="3" t="s">
        <v>7</v>
      </c>
      <c r="Z13" s="2" t="s">
        <v>7</v>
      </c>
      <c r="AA13" s="2"/>
      <c r="AB13" s="2"/>
      <c r="AC13" s="2"/>
      <c r="AD13" s="2"/>
      <c r="AE13" s="2"/>
      <c r="AF13" s="2"/>
      <c r="AG13" s="2"/>
      <c r="AH13" s="2"/>
      <c r="AI13" s="2"/>
    </row>
    <row r="14" spans="1:46" ht="14.45" customHeight="1" x14ac:dyDescent="0.3">
      <c r="A14" s="1" t="str">
        <f>CLE!Q3</f>
        <v>ZSEF25</v>
      </c>
      <c r="B14" s="39" t="str">
        <f>IFERROR(RIGHT(RTD("cqg.rtd",,"ContractData",A14, "LongDescription"),7),"")</f>
        <v xml:space="preserve"> Jan 25</v>
      </c>
      <c r="C14" s="40" t="str">
        <f>IFERROR(TEXT(RTD("cqg.rtd", ,"ContractData",A14, "Open",,"T"),$D$1),"")</f>
        <v>1030.00</v>
      </c>
      <c r="D14" s="40" t="str">
        <f>IFERROR(TEXT(RTD("cqg.rtd", ,"ContractData",A14, "High",,"T"),$D$1),"")</f>
        <v>1042.25</v>
      </c>
      <c r="E14" s="40" t="str">
        <f>IFERROR(TEXT(RTD("cqg.rtd", ,"ContractData",A14, "Low",,"T"),$D$1),"")</f>
        <v>1026.00</v>
      </c>
      <c r="F14" s="40" t="str">
        <f>IFERROR(TEXT(RTD("cqg.rtd", ,"ContractData",A14, "LastTradeorSettle",,"T"),$D$1),"")</f>
        <v>1027.25</v>
      </c>
      <c r="G14" s="40">
        <f>IFERROR(TEXT(RTD("cqg.rtd",,"ContractData",A14,"NetLastTradeToday",,"T"),$D$1)*1,"")</f>
        <v>-3</v>
      </c>
      <c r="H14" s="40">
        <f>IFERROR(TEXT(RTD("cqg.rtd",,"ContractData",A14,"NetLastTradeToday",,"T"),$D$1)*1,"")</f>
        <v>-3</v>
      </c>
      <c r="I14" s="41">
        <f>IFERROR(RTD("cqg.rtd", ,"ContractData",A14, "T_CVol"),"")</f>
        <v>70371</v>
      </c>
      <c r="J14" s="42"/>
      <c r="K14" s="151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4"/>
      <c r="W14" s="43"/>
      <c r="X14" s="6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46" ht="14.45" customHeight="1" x14ac:dyDescent="0.3">
      <c r="A15" s="1" t="str">
        <f>CLE!Q4</f>
        <v>ZSEH25</v>
      </c>
      <c r="B15" s="39" t="str">
        <f>IFERROR(RIGHT(RTD("cqg.rtd",,"ContractData",A15, "LongDescription"),7),"")</f>
        <v xml:space="preserve"> Mar 25</v>
      </c>
      <c r="C15" s="40" t="str">
        <f>IFERROR(TEXT(RTD("cqg.rtd", ,"ContractData",A15, "Open",,"T"),$D$1),"")</f>
        <v>1043.50</v>
      </c>
      <c r="D15" s="40" t="str">
        <f>IFERROR(TEXT(RTD("cqg.rtd", ,"ContractData",A15, "High",,"T"),$D$1),"")</f>
        <v>1054.75</v>
      </c>
      <c r="E15" s="40" t="str">
        <f>IFERROR(TEXT(RTD("cqg.rtd", ,"ContractData",A15, "Low",,"T"),$D$1),"")</f>
        <v>1038.00</v>
      </c>
      <c r="F15" s="40" t="str">
        <f>IFERROR(TEXT(RTD("cqg.rtd", ,"ContractData",A15, "LastTradeorSettle",,"T"),$D$1),"")</f>
        <v>1039.00</v>
      </c>
      <c r="G15" s="40">
        <f>IFERROR(TEXT(RTD("cqg.rtd",,"ContractData",A15,"NetLastTradeToday",,"T"),$D$1)*1,"")</f>
        <v>-4.5</v>
      </c>
      <c r="H15" s="40">
        <f>IFERROR(TEXT(RTD("cqg.rtd",,"ContractData",A15,"NetLastTradeToday",,"T"),$D$1)*1,"")</f>
        <v>-4.5</v>
      </c>
      <c r="I15" s="41">
        <f>IFERROR(RTD("cqg.rtd", ,"ContractData",A15, "T_CVol"),"")</f>
        <v>26165</v>
      </c>
      <c r="J15" s="42"/>
      <c r="K15" s="151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5"/>
      <c r="X15" s="6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46" ht="14.45" customHeight="1" x14ac:dyDescent="0.3">
      <c r="A16" s="1" t="str">
        <f>CLE!Q5</f>
        <v>ZSEK25</v>
      </c>
      <c r="B16" s="39" t="str">
        <f>IFERROR(RIGHT(RTD("cqg.rtd",,"ContractData",A16, "LongDescription"),7),"")</f>
        <v xml:space="preserve"> May 25</v>
      </c>
      <c r="C16" s="40" t="str">
        <f>IFERROR(TEXT(RTD("cqg.rtd", ,"ContractData",A16, "Open",,"T"),$D$1),"")</f>
        <v>1056.75</v>
      </c>
      <c r="D16" s="40" t="str">
        <f>IFERROR(TEXT(RTD("cqg.rtd", ,"ContractData",A16, "High",,"T"),$D$1),"")</f>
        <v>1067.25</v>
      </c>
      <c r="E16" s="40" t="str">
        <f>IFERROR(TEXT(RTD("cqg.rtd", ,"ContractData",A16, "Low",,"T"),$D$1),"")</f>
        <v>1050.75</v>
      </c>
      <c r="F16" s="40" t="str">
        <f>IFERROR(TEXT(RTD("cqg.rtd", ,"ContractData",A16, "LastTradeorSettle",,"T"),$D$1),"")</f>
        <v>1051.25</v>
      </c>
      <c r="G16" s="40">
        <f>IFERROR(TEXT(RTD("cqg.rtd",,"ContractData",A16,"NetLastTradeToday",,"T"),$D$1)*1,"")</f>
        <v>-5.5</v>
      </c>
      <c r="H16" s="40">
        <f>IFERROR(TEXT(RTD("cqg.rtd",,"ContractData",A16,"NetLastTradeToday",,"T"),$D$1)*1,"")</f>
        <v>-5.5</v>
      </c>
      <c r="I16" s="41">
        <f>IFERROR(RTD("cqg.rtd", ,"ContractData",A16, "T_CVol"),"")</f>
        <v>10836</v>
      </c>
      <c r="J16" s="42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7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6" ht="14.45" customHeight="1" x14ac:dyDescent="0.3">
      <c r="A17" s="1" t="str">
        <f>CLE!Q6</f>
        <v>ZSEN25</v>
      </c>
      <c r="B17" s="39" t="str">
        <f>IFERROR(RIGHT(RTD("cqg.rtd",,"ContractData",A17, "LongDescription"),7),"")</f>
        <v xml:space="preserve"> Jul 25</v>
      </c>
      <c r="C17" s="40" t="str">
        <f>IFERROR(TEXT(RTD("cqg.rtd", ,"ContractData",A17, "Open",,"T"),$D$1),"")</f>
        <v>1068.00</v>
      </c>
      <c r="D17" s="40" t="str">
        <f>IFERROR(TEXT(RTD("cqg.rtd", ,"ContractData",A17, "High",,"T"),$D$1),"")</f>
        <v>1078.00</v>
      </c>
      <c r="E17" s="40" t="str">
        <f>IFERROR(TEXT(RTD("cqg.rtd", ,"ContractData",A17, "Low",,"T"),$D$1),"")</f>
        <v>1061.75</v>
      </c>
      <c r="F17" s="40" t="str">
        <f>IFERROR(TEXT(RTD("cqg.rtd", ,"ContractData",A17, "LastTradeorSettle",,"T"),$D$1),"")</f>
        <v>1062.50</v>
      </c>
      <c r="G17" s="40">
        <f>IFERROR(TEXT(RTD("cqg.rtd",,"ContractData",A17,"NetLastTradeToday",,"T"),$D$1)*1,"")</f>
        <v>-5.75</v>
      </c>
      <c r="H17" s="40">
        <f>IFERROR(TEXT(RTD("cqg.rtd",,"ContractData",A17,"NetLastTradeToday",,"T"),$D$1)*1,"")</f>
        <v>-5.75</v>
      </c>
      <c r="I17" s="41">
        <f>IFERROR(RTD("cqg.rtd", ,"ContractData",A17, "T_CVol"),"")</f>
        <v>9754</v>
      </c>
      <c r="J17" s="42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9"/>
      <c r="X17" s="3" t="s">
        <v>7</v>
      </c>
      <c r="Z17" s="50"/>
      <c r="AA17" s="50"/>
      <c r="AB17" s="50"/>
      <c r="AC17" s="50"/>
      <c r="AD17" s="2"/>
      <c r="AE17" s="2"/>
      <c r="AF17" s="2"/>
      <c r="AG17" s="2"/>
      <c r="AH17" s="2"/>
      <c r="AI17" s="2"/>
    </row>
    <row r="18" spans="1:36" ht="15" customHeight="1" x14ac:dyDescent="0.3">
      <c r="A18" s="1" t="str">
        <f>CLE!Q7</f>
        <v>ZSEQ25</v>
      </c>
      <c r="B18" s="39" t="str">
        <f>IFERROR(RIGHT(RTD("cqg.rtd",,"ContractData",A18, "LongDescription"),7),"")</f>
        <v xml:space="preserve"> Aug 25</v>
      </c>
      <c r="C18" s="40" t="str">
        <f>IFERROR(TEXT(RTD("cqg.rtd", ,"ContractData",A18, "Open",,"T"),$D$1),"")</f>
        <v>1067.25</v>
      </c>
      <c r="D18" s="40" t="str">
        <f>IFERROR(TEXT(RTD("cqg.rtd", ,"ContractData",A18, "High",,"T"),$D$1),"")</f>
        <v>1075.25</v>
      </c>
      <c r="E18" s="40" t="str">
        <f>IFERROR(TEXT(RTD("cqg.rtd", ,"ContractData",A18, "Low",,"T"),$D$1),"")</f>
        <v>1060.00</v>
      </c>
      <c r="F18" s="40" t="str">
        <f>IFERROR(TEXT(RTD("cqg.rtd", ,"ContractData",A18, "LastTradeorSettle",,"T"),$D$1),"")</f>
        <v>1060.50</v>
      </c>
      <c r="G18" s="40">
        <f>IFERROR(TEXT(RTD("cqg.rtd",,"ContractData",A18,"NetLastTradeToday",,"T"),$D$1)*1,"")</f>
        <v>-6.75</v>
      </c>
      <c r="H18" s="40">
        <f>IFERROR(TEXT(RTD("cqg.rtd",,"ContractData",A18,"NetLastTradeToday",,"T"),$D$1)*1,"")</f>
        <v>-6.75</v>
      </c>
      <c r="I18" s="41">
        <f>IFERROR(RTD("cqg.rtd", ,"ContractData",A18, "T_CVol"),"")</f>
        <v>1405</v>
      </c>
      <c r="J18" s="42"/>
      <c r="K18" s="48"/>
      <c r="L18" s="48"/>
      <c r="M18" s="48"/>
      <c r="N18" s="48"/>
      <c r="O18" s="48"/>
      <c r="P18" s="48"/>
      <c r="Q18" s="48"/>
      <c r="R18" s="51"/>
      <c r="S18" s="52"/>
      <c r="T18" s="52"/>
      <c r="U18" s="52"/>
      <c r="V18" s="53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6" ht="15" customHeight="1" x14ac:dyDescent="0.3">
      <c r="A19" s="1" t="str">
        <f>CLE!Q8</f>
        <v>ZSEU25</v>
      </c>
      <c r="B19" s="39" t="str">
        <f>IFERROR(RIGHT(RTD("cqg.rtd",,"ContractData",A19, "LongDescription"),7),"")</f>
        <v xml:space="preserve"> Sep 25</v>
      </c>
      <c r="C19" s="40" t="str">
        <f>IFERROR(TEXT(RTD("cqg.rtd", ,"ContractData",A19, "Open",,"T"),$D$1),"")</f>
        <v>1054.00</v>
      </c>
      <c r="D19" s="40" t="str">
        <f>IFERROR(TEXT(RTD("cqg.rtd", ,"ContractData",A19, "High",,"T"),$D$1),"")</f>
        <v>1059.00</v>
      </c>
      <c r="E19" s="40" t="str">
        <f>IFERROR(TEXT(RTD("cqg.rtd", ,"ContractData",A19, "Low",,"T"),$D$1),"")</f>
        <v>1045.00</v>
      </c>
      <c r="F19" s="40" t="str">
        <f>IFERROR(TEXT(RTD("cqg.rtd", ,"ContractData",A19, "LastTradeorSettle",,"T"),$D$1),"")</f>
        <v>1046.00</v>
      </c>
      <c r="G19" s="40">
        <f>IFERROR(TEXT(RTD("cqg.rtd",,"ContractData",A19,"NetLastTradeToday",,"T"),$D$1)*1,"")</f>
        <v>-8</v>
      </c>
      <c r="H19" s="40">
        <f>IFERROR(TEXT(RTD("cqg.rtd",,"ContractData",A19,"NetLastTradeToday",,"T"),$D$1)*1,"")</f>
        <v>-8</v>
      </c>
      <c r="I19" s="41">
        <f>IFERROR(RTD("cqg.rtd", ,"ContractData",A19, "T_CVol"),"")</f>
        <v>1278</v>
      </c>
      <c r="J19" s="42"/>
      <c r="K19" s="48"/>
      <c r="L19" s="48"/>
      <c r="M19" s="48"/>
      <c r="N19" s="48"/>
      <c r="O19" s="48"/>
      <c r="P19" s="48"/>
      <c r="Q19" s="48"/>
      <c r="R19" s="51"/>
      <c r="S19" s="52"/>
      <c r="T19" s="52"/>
      <c r="U19" s="52"/>
      <c r="V19" s="53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6" ht="15" customHeight="1" x14ac:dyDescent="0.3">
      <c r="A20" s="1" t="str">
        <f>CLE!Q9</f>
        <v>ZSEX25</v>
      </c>
      <c r="B20" s="39" t="str">
        <f>IFERROR(RIGHT(RTD("cqg.rtd",,"ContractData",A20, "LongDescription"),7),"")</f>
        <v xml:space="preserve"> Nov 25</v>
      </c>
      <c r="C20" s="40" t="str">
        <f>IFERROR(TEXT(RTD("cqg.rtd", ,"ContractData",A20, "Open",,"T"),$D$1),"")</f>
        <v>1051.50</v>
      </c>
      <c r="D20" s="40" t="str">
        <f>IFERROR(TEXT(RTD("cqg.rtd", ,"ContractData",A20, "High",,"T"),$D$1),"")</f>
        <v>1055.50</v>
      </c>
      <c r="E20" s="40" t="str">
        <f>IFERROR(TEXT(RTD("cqg.rtd", ,"ContractData",A20, "Low",,"T"),$D$1),"")</f>
        <v>1042.00</v>
      </c>
      <c r="F20" s="40" t="str">
        <f>IFERROR(TEXT(RTD("cqg.rtd", ,"ContractData",A20, "LastTradeorSettle",,"T"),$D$1),"")</f>
        <v>1043.00</v>
      </c>
      <c r="G20" s="40">
        <f>IFERROR(TEXT(RTD("cqg.rtd",,"ContractData",A20,"NetLastTradeToday",,"T"),$D$1)*1,"")</f>
        <v>-9.5</v>
      </c>
      <c r="H20" s="40">
        <f>IFERROR(TEXT(RTD("cqg.rtd",,"ContractData",A20,"NetLastTradeToday",,"T"),$D$1)*1,"")</f>
        <v>-9.5</v>
      </c>
      <c r="I20" s="41">
        <f>IFERROR(RTD("cqg.rtd", ,"ContractData",A20, "T_CVol"),"")</f>
        <v>6763</v>
      </c>
      <c r="J20" s="42"/>
      <c r="K20" s="48"/>
      <c r="L20" s="48"/>
      <c r="M20" s="48"/>
      <c r="N20" s="48"/>
      <c r="O20" s="48"/>
      <c r="P20" s="48"/>
      <c r="Q20" s="48"/>
      <c r="R20" s="54"/>
      <c r="S20" s="52"/>
      <c r="T20" s="52"/>
      <c r="U20" s="52"/>
      <c r="V20" s="53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6" ht="15" customHeight="1" x14ac:dyDescent="0.3">
      <c r="A21" s="1" t="str">
        <f>CLE!Q10</f>
        <v>ZSEF26</v>
      </c>
      <c r="B21" s="39" t="str">
        <f>IFERROR(RIGHT(RTD("cqg.rtd",,"ContractData",A21, "LongDescription"),7),"")</f>
        <v xml:space="preserve"> Jan 26</v>
      </c>
      <c r="C21" s="40" t="str">
        <f>IFERROR(TEXT(RTD("cqg.rtd", ,"ContractData",A21, "Open",,"T"),$D$1),"")</f>
        <v>1062.00</v>
      </c>
      <c r="D21" s="40" t="str">
        <f>IFERROR(TEXT(RTD("cqg.rtd", ,"ContractData",A21, "High",,"T"),$D$1),"")</f>
        <v>1064.00</v>
      </c>
      <c r="E21" s="40" t="str">
        <f>IFERROR(TEXT(RTD("cqg.rtd", ,"ContractData",A21, "Low",,"T"),$D$1),"")</f>
        <v>1051.00</v>
      </c>
      <c r="F21" s="40" t="str">
        <f>IFERROR(TEXT(RTD("cqg.rtd", ,"ContractData",A21, "LastTradeorSettle",,"T"),$D$1),"")</f>
        <v>1052.25</v>
      </c>
      <c r="G21" s="40">
        <f>IFERROR(TEXT(RTD("cqg.rtd",,"ContractData",A21,"NetLastTradeToday",,"T"),$D$1)*1,"")</f>
        <v>-9.5</v>
      </c>
      <c r="H21" s="40">
        <f>IFERROR(TEXT(RTD("cqg.rtd",,"ContractData",A21,"NetLastTradeToday",,"T"),$D$1)*1,"")</f>
        <v>-9.5</v>
      </c>
      <c r="I21" s="41">
        <f>IFERROR(RTD("cqg.rtd", ,"ContractData",A21, "T_CVol"),"")</f>
        <v>709</v>
      </c>
      <c r="J21" s="42"/>
      <c r="K21" s="48"/>
      <c r="L21" s="48"/>
      <c r="M21" s="48"/>
      <c r="N21" s="48"/>
      <c r="O21" s="48"/>
      <c r="P21" s="48"/>
      <c r="Q21" s="48"/>
      <c r="R21" s="51"/>
      <c r="S21" s="52"/>
      <c r="T21" s="52"/>
      <c r="U21" s="52"/>
      <c r="V21" s="53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6" ht="15" customHeight="1" x14ac:dyDescent="0.3">
      <c r="A22" s="1" t="str">
        <f>CLE!Q11</f>
        <v>ZSEH26</v>
      </c>
      <c r="B22" s="39" t="str">
        <f>IFERROR(RIGHT(RTD("cqg.rtd",,"ContractData",A22, "LongDescription"),7),"")</f>
        <v xml:space="preserve"> Mar 26</v>
      </c>
      <c r="C22" s="40" t="str">
        <f>IFERROR(TEXT(RTD("cqg.rtd", ,"ContractData",A22, "Open",,"T"),$D$1),"")</f>
        <v>1062.00</v>
      </c>
      <c r="D22" s="40" t="str">
        <f>IFERROR(TEXT(RTD("cqg.rtd", ,"ContractData",A22, "High",,"T"),$D$1),"")</f>
        <v>1062.00</v>
      </c>
      <c r="E22" s="40" t="str">
        <f>IFERROR(TEXT(RTD("cqg.rtd", ,"ContractData",A22, "Low",,"T"),$D$1),"")</f>
        <v>1051.00</v>
      </c>
      <c r="F22" s="40" t="str">
        <f>IFERROR(TEXT(RTD("cqg.rtd", ,"ContractData",A22, "LastTradeorSettle",,"T"),$D$1),"")</f>
        <v>1051.75</v>
      </c>
      <c r="G22" s="40">
        <f>IFERROR(TEXT(RTD("cqg.rtd",,"ContractData",A22,"NetLastTradeToday",,"T"),$D$1)*1,"")</f>
        <v>-10</v>
      </c>
      <c r="H22" s="40">
        <f>IFERROR(TEXT(RTD("cqg.rtd",,"ContractData",A22,"NetLastTradeToday",,"T"),$D$1)*1,"")</f>
        <v>-10</v>
      </c>
      <c r="I22" s="41">
        <f>IFERROR(RTD("cqg.rtd", ,"ContractData",A22, "T_CVol"),"")</f>
        <v>1087</v>
      </c>
      <c r="J22" s="42"/>
      <c r="K22" s="48"/>
      <c r="L22" s="48"/>
      <c r="M22" s="48"/>
      <c r="N22" s="48"/>
      <c r="O22" s="48"/>
      <c r="P22" s="48"/>
      <c r="Q22" s="48"/>
      <c r="R22" s="51"/>
      <c r="S22" s="52"/>
      <c r="T22" s="52"/>
      <c r="U22" s="52"/>
      <c r="V22" s="53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6" ht="15" customHeight="1" x14ac:dyDescent="0.3">
      <c r="A23" s="1" t="str">
        <f>CLE!Q12</f>
        <v>ZSEK26</v>
      </c>
      <c r="B23" s="39" t="str">
        <f>IFERROR(RIGHT(RTD("cqg.rtd",,"ContractData",A23, "LongDescription"),7),"")</f>
        <v xml:space="preserve"> May 26</v>
      </c>
      <c r="C23" s="40" t="str">
        <f>IFERROR(TEXT(RTD("cqg.rtd", ,"ContractData",A23, "Open",,"T"),$D$1),"")</f>
        <v>1067.75</v>
      </c>
      <c r="D23" s="40" t="str">
        <f>IFERROR(TEXT(RTD("cqg.rtd", ,"ContractData",A23, "High",,"T"),$D$1),"")</f>
        <v>1067.75</v>
      </c>
      <c r="E23" s="40" t="str">
        <f>IFERROR(TEXT(RTD("cqg.rtd", ,"ContractData",A23, "Low",,"T"),$D$1),"")</f>
        <v>1064.00</v>
      </c>
      <c r="F23" s="40" t="str">
        <f>IFERROR(TEXT(RTD("cqg.rtd", ,"ContractData",A23, "LastTradeorSettle",,"T"),$D$1),"")</f>
        <v>1064.00</v>
      </c>
      <c r="G23" s="40">
        <f>IFERROR(TEXT(RTD("cqg.rtd",,"ContractData",A23,"NetLastTradeToday",,"T"),$D$1)*1,"")</f>
        <v>-3.75</v>
      </c>
      <c r="H23" s="40">
        <f>IFERROR(TEXT(RTD("cqg.rtd",,"ContractData",A23,"NetLastTradeToday",,"T"),$D$1)*1,"")</f>
        <v>-3.75</v>
      </c>
      <c r="I23" s="41">
        <f>IFERROR(RTD("cqg.rtd", ,"ContractData",A23, "T_CVol"),"")</f>
        <v>310</v>
      </c>
      <c r="J23" s="42"/>
      <c r="K23" s="48"/>
      <c r="L23" s="48"/>
      <c r="M23" s="48"/>
      <c r="N23" s="48"/>
      <c r="O23" s="48"/>
      <c r="P23" s="48"/>
      <c r="Q23" s="48"/>
      <c r="R23" s="51"/>
      <c r="S23" s="52"/>
      <c r="T23" s="52"/>
      <c r="U23" s="52"/>
      <c r="V23" s="53"/>
    </row>
    <row r="24" spans="1:36" ht="15" customHeight="1" x14ac:dyDescent="0.3">
      <c r="A24" s="1" t="str">
        <f>CLE!Q13</f>
        <v>ZSEN26</v>
      </c>
      <c r="B24" s="39" t="str">
        <f>IFERROR(RIGHT(RTD("cqg.rtd",,"ContractData",A24, "LongDescription"),7),"")</f>
        <v xml:space="preserve"> Jul 26</v>
      </c>
      <c r="C24" s="40" t="str">
        <f>IFERROR(TEXT(RTD("cqg.rtd", ,"ContractData",A24, "Open",,"T"),$D$1),"")</f>
        <v>1074.50</v>
      </c>
      <c r="D24" s="40" t="str">
        <f>IFERROR(TEXT(RTD("cqg.rtd", ,"ContractData",A24, "High",,"T"),$D$1),"")</f>
        <v>1075.00</v>
      </c>
      <c r="E24" s="40" t="str">
        <f>IFERROR(TEXT(RTD("cqg.rtd", ,"ContractData",A24, "Low",,"T"),$D$1),"")</f>
        <v>1065.75</v>
      </c>
      <c r="F24" s="40" t="str">
        <f>IFERROR(TEXT(RTD("cqg.rtd", ,"ContractData",A24, "LastTradeorSettle",,"T"),$D$1),"")</f>
        <v>1065.75</v>
      </c>
      <c r="G24" s="40">
        <f>IFERROR(TEXT(RTD("cqg.rtd",,"ContractData",A24,"NetLastTradeToday",,"T"),$D$1)*1,"")</f>
        <v>-10</v>
      </c>
      <c r="H24" s="40">
        <f>IFERROR(TEXT(RTD("cqg.rtd",,"ContractData",A24,"NetLastTradeToday",,"T"),$D$1)*1,"")</f>
        <v>-10</v>
      </c>
      <c r="I24" s="41">
        <f>IFERROR(RTD("cqg.rtd", ,"ContractData",A24, "T_CVol"),"")</f>
        <v>518</v>
      </c>
      <c r="J24" s="42"/>
      <c r="K24" s="48"/>
      <c r="L24" s="48"/>
      <c r="M24" s="48"/>
      <c r="N24" s="48"/>
      <c r="O24" s="48"/>
      <c r="P24" s="48"/>
      <c r="Q24" s="48"/>
      <c r="R24" s="51"/>
      <c r="S24" s="52"/>
      <c r="T24" s="52"/>
      <c r="U24" s="52"/>
      <c r="V24" s="53"/>
    </row>
    <row r="25" spans="1:36" ht="12" customHeight="1" x14ac:dyDescent="0.3">
      <c r="B25" s="138"/>
      <c r="C25" s="139"/>
      <c r="D25" s="57"/>
      <c r="E25" s="58"/>
      <c r="F25" s="59"/>
      <c r="G25" s="58"/>
      <c r="H25" s="60"/>
      <c r="I25" s="58"/>
      <c r="J25" s="61"/>
      <c r="K25" s="62"/>
      <c r="L25" s="62"/>
      <c r="M25" s="62"/>
      <c r="N25" s="62"/>
      <c r="O25" s="62"/>
      <c r="P25" s="62"/>
      <c r="Q25" s="62"/>
      <c r="R25" s="63"/>
      <c r="S25" s="64"/>
      <c r="T25" s="64"/>
      <c r="U25" s="64"/>
      <c r="V25" s="65"/>
    </row>
    <row r="26" spans="1:36" ht="15" customHeight="1" x14ac:dyDescent="0.2">
      <c r="B26" s="136" t="s">
        <v>15</v>
      </c>
      <c r="C26" s="137"/>
      <c r="D26" s="137"/>
      <c r="E26" s="137"/>
      <c r="F26" s="137"/>
      <c r="G26" s="137"/>
      <c r="H26" s="137"/>
      <c r="I26" s="137"/>
      <c r="J26" s="66"/>
      <c r="K26" s="67" t="str">
        <f>B29</f>
        <v>X24 &amp; F25</v>
      </c>
      <c r="L26" s="20" t="str">
        <f>B30</f>
        <v>F25 &amp; H25</v>
      </c>
      <c r="M26" s="20" t="str">
        <f>B31</f>
        <v>H25 &amp; K25</v>
      </c>
      <c r="N26" s="20" t="str">
        <f>B32</f>
        <v>K25 &amp; N25</v>
      </c>
      <c r="O26" s="20" t="str">
        <f>B33</f>
        <v>N25 &amp; Q25</v>
      </c>
      <c r="P26" s="20" t="str">
        <f>B34</f>
        <v>Q25 &amp; U25</v>
      </c>
      <c r="Q26" s="20" t="str">
        <f>B35</f>
        <v>U25 &amp; X25</v>
      </c>
      <c r="R26" s="20" t="str">
        <f>B36</f>
        <v>X25 &amp; F26</v>
      </c>
      <c r="S26" s="20" t="str">
        <f>B37</f>
        <v>F26 &amp; H26</v>
      </c>
      <c r="T26" s="20" t="str">
        <f>B38</f>
        <v>H26 &amp; K26</v>
      </c>
      <c r="U26" s="20" t="str">
        <f>B39</f>
        <v>K26 &amp; N26</v>
      </c>
      <c r="V26" s="20" t="str">
        <f>B40</f>
        <v>N26 &amp; Q26</v>
      </c>
      <c r="AJ26" s="3"/>
    </row>
    <row r="27" spans="1:36" ht="15" customHeight="1" x14ac:dyDescent="0.3">
      <c r="B27" s="118"/>
      <c r="C27" s="119"/>
      <c r="D27" s="119"/>
      <c r="E27" s="119"/>
      <c r="F27" s="119"/>
      <c r="G27" s="119"/>
      <c r="H27" s="119"/>
      <c r="I27" s="119"/>
      <c r="J27" s="66"/>
      <c r="K27" s="68" t="str">
        <f>IF(K26="","",IF(RTD("cqg.rtd",,"ContractData",A29,"Ask",,"T")="","",TEXT(RTD("cqg.rtd",,"ContractData",A29,"Ask",,"T"),$D$1)&amp;" "&amp;"A"))</f>
        <v>-11.25 A</v>
      </c>
      <c r="L27" s="22" t="str">
        <f>IF(L26="","",IF(RTD("cqg.rtd",,"ContractData",A30,"Ask",,"T")="","",TEXT(RTD("cqg.rtd",,"ContractData",A30,"Ask",,"T"),$D$1)&amp;" "&amp;"A"))</f>
        <v>-11.75 A</v>
      </c>
      <c r="M27" s="69" t="str">
        <f>IF(M26="","",IF(RTD("cqg.rtd",,"ContractData",A31,"Ask",,"T")="","",TEXT(RTD("cqg.rtd",,"ContractData",A31,"Ask",,"T"),$D$1)&amp;" "&amp;"A"))</f>
        <v>-12.50 A</v>
      </c>
      <c r="N27" s="69" t="str">
        <f>IF(N26="","",IF(RTD("cqg.rtd",,"ContractData",A32,"Ask",,"T")="","",TEXT(RTD("cqg.rtd",,"ContractData",A32,"Ask",,"T"),$D$1)&amp;" "&amp;"A"))</f>
        <v>-10.75 A</v>
      </c>
      <c r="O27" s="69" t="str">
        <f>IF(O26="","",IF(RTD("cqg.rtd",,"ContractData",A33,"Ask",,"T")="","",TEXT(RTD("cqg.rtd",,"ContractData",A33,"Ask",,"T"),$D$1)&amp;" "&amp;"A"))</f>
        <v>2.25 A</v>
      </c>
      <c r="P27" s="69" t="str">
        <f>IF(P26="","",IF(RTD("cqg.rtd",,"ContractData",A34,"Ask",,"T")="","",TEXT(RTD("cqg.rtd",,"ContractData",A34,"Ask",,"T"),$D$1)&amp;" "&amp;"A"))</f>
        <v>15.00 A</v>
      </c>
      <c r="Q27" s="69" t="str">
        <f>IF(Q26="","",IF(RTD("cqg.rtd",,"ContractData",A35,"Ask",,"T")="","",TEXT(RTD("cqg.rtd",,"ContractData",A35,"Ask",,"T"),$D$1)&amp;" "&amp;"A"))</f>
        <v>2.75 A</v>
      </c>
      <c r="R27" s="69" t="str">
        <f>IF(R26="","",IF(RTD("cqg.rtd",,"ContractData",A36,"Ask",,"T")="","",TEXT(RTD("cqg.rtd",,"ContractData",A36,"Ask",,"T"),$D$1)&amp;" "&amp;"A"))</f>
        <v>-9.00 A</v>
      </c>
      <c r="S27" s="70" t="str">
        <f>IF(S26="","",IF(RTD("cqg.rtd",,"ContractData",A37,"Ask",,"T")="","",TEXT(RTD("cqg.rtd",,"ContractData",A37,"Ask",,"T"),$D$1)&amp;" "&amp;"A"))</f>
        <v>.50 A</v>
      </c>
      <c r="T27" s="69" t="str">
        <f>IF(T26="","",IF(RTD("cqg.rtd",,"ContractData",A38,"Ask",,"T")="","",TEXT(RTD("cqg.rtd",,"ContractData",A38,"Ask",,"T"),$D$1)&amp;" "&amp;"A"))</f>
        <v>-5.00 A</v>
      </c>
      <c r="U27" s="69" t="str">
        <f>IF(U26="","",IF(RTD("cqg.rtd",,"ContractData",A39,"Ask",,"T")="","",TEXT(RTD("cqg.rtd",,"ContractData",A39,"Ask",,"T"),$D$1)&amp;" "&amp;"A"))</f>
        <v>-7.25 A</v>
      </c>
      <c r="V27" s="69" t="str">
        <f>IF(V26="","",IF(RTD("cqg.rtd",,"ContractData",A40,"Ask",,"T")="","",TEXT(RTD("cqg.rtd",,"ContractData",A40,"Ask",,"T"),$D$1)&amp;" "&amp;"A"))</f>
        <v>4.75 A</v>
      </c>
    </row>
    <row r="28" spans="1:36" ht="15" customHeight="1" x14ac:dyDescent="0.3">
      <c r="B28" s="32" t="s">
        <v>16</v>
      </c>
      <c r="C28" s="33" t="s">
        <v>9</v>
      </c>
      <c r="D28" s="33" t="s">
        <v>10</v>
      </c>
      <c r="E28" s="33" t="s">
        <v>11</v>
      </c>
      <c r="F28" s="33" t="s">
        <v>8</v>
      </c>
      <c r="G28" s="33" t="s">
        <v>12</v>
      </c>
      <c r="H28" s="33" t="s">
        <v>12</v>
      </c>
      <c r="I28" s="71" t="s">
        <v>13</v>
      </c>
      <c r="J28" s="72"/>
      <c r="K28" s="73" t="str">
        <f>IF(K26="","",IF(RTD("cqg.rtd",,"ContractData",A29,"Bid",,"T")="","",TEXT(RTD("cqg.rtd",,"ContractData",A29,"Bid",,"T"),$D$1)&amp;" "&amp;"B"))</f>
        <v>-12.50 B</v>
      </c>
      <c r="L28" s="22" t="str">
        <f>IF(L26="","",IF(RTD("cqg.rtd",,"ContractData",A30,"Bid",,"T")="","",TEXT(RTD("cqg.rtd",,"ContractData",A30,"Bid",,"T"),$D$1)&amp;" "&amp;"B"))</f>
        <v>-12.00 B</v>
      </c>
      <c r="M28" s="69" t="str">
        <f>IF(M26="","",IF(RTD("cqg.rtd",,"ContractData",A31,"Bid",,"T")="","",TEXT(RTD("cqg.rtd",,"ContractData",A31,"Bid",,"T"),$D$1)&amp;" "&amp;"B"))</f>
        <v>-12.75 B</v>
      </c>
      <c r="N28" s="69" t="str">
        <f>IF(N26="","",IF(RTD("cqg.rtd",,"ContractData",A32,"Bid",,"T")="","",TEXT(RTD("cqg.rtd",,"ContractData",A32,"Bid",,"T"),$D$1)&amp;" "&amp;"B"))</f>
        <v>-11.00 B</v>
      </c>
      <c r="O28" s="69" t="str">
        <f>IF(O26="","",IF(RTD("cqg.rtd",,"ContractData",A33,"Bid",,"T")="","",TEXT(RTD("cqg.rtd",,"ContractData",A33,"Bid",,"T"),$D$1)&amp;" "&amp;"B"))</f>
        <v>2.00 B</v>
      </c>
      <c r="P28" s="69" t="str">
        <f>IF(P26="","",IF(RTD("cqg.rtd",,"ContractData",A34,"Bid",,"T")="","",TEXT(RTD("cqg.rtd",,"ContractData",A34,"Bid",,"T"),$D$1)&amp;" "&amp;"B"))</f>
        <v>14.75 B</v>
      </c>
      <c r="Q28" s="69" t="str">
        <f>IF(Q26="","",IF(RTD("cqg.rtd",,"ContractData",A35,"Bid",,"T")="","",TEXT(RTD("cqg.rtd",,"ContractData",A35,"Bid",,"T"),$D$1)&amp;" "&amp;"B"))</f>
        <v>2.25 B</v>
      </c>
      <c r="R28" s="69" t="str">
        <f>IF(R26="","",IF(RTD("cqg.rtd",,"ContractData",A36,"Bid",,"T")="","",TEXT(RTD("cqg.rtd",,"ContractData",A36,"Bid",,"T"),$D$1)&amp;" "&amp;"B"))</f>
        <v>-9.25 B</v>
      </c>
      <c r="S28" s="69" t="str">
        <f>IF(S26="","",IF(RTD("cqg.rtd",,"ContractData",A37,"Bid",,"T")="","",TEXT(RTD("cqg.rtd",,"ContractData",A37,"Bid",,"T"),$D$1)&amp;" "&amp;"B"))</f>
        <v>.00 B</v>
      </c>
      <c r="T28" s="69" t="str">
        <f>IF(T26="","",IF(RTD("cqg.rtd",,"ContractData",A38,"Bid",,"T")="","",TEXT(RTD("cqg.rtd",,"ContractData",A38,"Bid",,"T"),$D$1)&amp;" "&amp;"B"))</f>
        <v>-5.50 B</v>
      </c>
      <c r="U28" s="69" t="str">
        <f>IF(U26="","",IF(RTD("cqg.rtd",,"ContractData",A39,"Bid",,"T")="","",TEXT(RTD("cqg.rtd",,"ContractData",A39,"Bid",,"T"),$D$1)&amp;" "&amp;"B"))</f>
        <v>-7.50 B</v>
      </c>
      <c r="V28" s="69" t="str">
        <f>IF(V26="","",IF(RTD("cqg.rtd",,"ContractData",A40,"Bid",,"T")="","",TEXT(RTD("cqg.rtd",,"ContractData",A40,"Bid",,"T"),$D$1)&amp;" "&amp;"B"))</f>
        <v>2.75 B</v>
      </c>
      <c r="X28" s="3" t="s">
        <v>7</v>
      </c>
    </row>
    <row r="29" spans="1:36" ht="15" customHeight="1" x14ac:dyDescent="0.3">
      <c r="A29" s="1" t="str">
        <f>IF(LEFT(RTD("cqg.rtd",,"ContractData",CLE!J16, "Symbol"),3)="768",NA(),RTD("cqg.rtd",,"ContractData",CLE!J16, "Symbol"))</f>
        <v>ZSES1X24</v>
      </c>
      <c r="B29" s="111" t="str">
        <f>IFERROR(LEFT(RIGHT(RTD("cqg.rtd", ,"ContractData",A29, "LongDescription",, "T"),13),3)&amp;" &amp; "&amp;LEFT(RIGHT(RTD("cqg.rtd", ,"ContractData",A29, "LongDescription",, "T"),4),3),"")</f>
        <v>X24 &amp; F25</v>
      </c>
      <c r="C29" s="40" t="str">
        <f>IF(B29="","",TEXT(RTD("cqg.rtd", ,"ContractData",A29, "Open",,"T"),$D$1))</f>
        <v>-12.25</v>
      </c>
      <c r="D29" s="40" t="str">
        <f>IF(B29="","",TEXT(RTD("cqg.rtd",,"ContractData",A29,"High",,"T"),$D$1))</f>
        <v>-9.25</v>
      </c>
      <c r="E29" s="40" t="str">
        <f>IF(B29="","",TEXT(RTD("cqg.rtd", ,"ContractData",A29, "Low",,"T"),$D$1))</f>
        <v>-13.75</v>
      </c>
      <c r="F29" s="40" t="str">
        <f>IF(B29="","",TEXT(RTD("cqg.rtd",,"ContractData",A29,"LastTradeorSettle",,"T"),$D$1))</f>
        <v>-12.50</v>
      </c>
      <c r="G29" s="74">
        <f>IF(B29="","",TEXT(RTD("cqg.rtd",,"ContractData",A29,"NetLastTradeToday",,"T"),$D$1)*1)</f>
        <v>1</v>
      </c>
      <c r="H29" s="75">
        <f>IFERROR(IF(B29="","",TEXT(RTD("cqg.rtd",,"ContractData",A29,"NetLastTradeToday",,"T"),$D$1)*1),"")</f>
        <v>1</v>
      </c>
      <c r="I29" s="41">
        <f>IF(B29="","",RTD("cqg.rtd", ,"ContractData",A29, "T_CVol"))</f>
        <v>83</v>
      </c>
      <c r="J29" s="42"/>
      <c r="K29" s="76" t="str">
        <f>IF(K26="","",IF(RTD("cqg.rtd",,"StudyData",A29,  "Bar",, "Close", "D",,,,,,"T")="","",TEXT(RTD("cqg.rtd",,"StudyData",A29,  "Bar",, "Close", "D",,,,,,"T"),$D$1)&amp;" "&amp;"L"))</f>
        <v>-12.50 L</v>
      </c>
      <c r="L29" s="76" t="str">
        <f>IF(L26="","",IF(RTD("cqg.rtd",,"StudyData",A30,  "Bar",, "Close", "D",,,,,,"T")="","",TEXT(RTD("cqg.rtd",,"StudyData",A30,  "Bar",, "Close", "D",,,,,,"T"),$D$1)&amp;" "&amp;"L"))</f>
        <v>-11.75 L</v>
      </c>
      <c r="M29" s="69" t="str">
        <f>IF(M26="","",IF(RTD("cqg.rtd",,"StudyData",A31,  "Bar",, "Close", "D",,,,,,"T")="","",TEXT(RTD("cqg.rtd",,"StudyData",A31,  "Bar",, "Close", "D",,,,,,"T"),$D$1)&amp;" "&amp;"L"))</f>
        <v>-12.50 L</v>
      </c>
      <c r="N29" s="69" t="str">
        <f>IF(N26="","",IF(RTD("cqg.rtd",,"StudyData",A32,  "Bar",, "Close", "D",,,,,,"T")="","",TEXT(RTD("cqg.rtd",,"StudyData",A32,  "Bar",, "Close", "D",,,,,,"T"),$D$1)&amp;" "&amp;"L"))</f>
        <v>-11.00 L</v>
      </c>
      <c r="O29" s="69" t="str">
        <f>IF(O26="","",IF(RTD("cqg.rtd",,"StudyData",A33,  "Bar",, "Close", "D",,,,,,"T")="","",TEXT(RTD("cqg.rtd",,"StudyData",A33,  "Bar",, "Close", "D",,,,,,"T"),$D$1)&amp;" "&amp;"L"))</f>
        <v>2.00 L</v>
      </c>
      <c r="P29" s="69" t="str">
        <f>IF(P26="","",IF(RTD("cqg.rtd",,"StudyData",A34,  "Bar",, "Close", "D",,,,,,"T")="","",TEXT(RTD("cqg.rtd",,"StudyData",A34,  "Bar",, "Close", "D",,,,,,"T"),$D$1)&amp;" "&amp;"L"))</f>
        <v>15.00 L</v>
      </c>
      <c r="Q29" s="69" t="str">
        <f>IF(Q26="","",IF(RTD("cqg.rtd",,"StudyData",A35,  "Bar",, "Close", "D",,,,,,"T")="","",TEXT(RTD("cqg.rtd",,"StudyData",A35,  "Bar",, "Close", "D",,,,,,"T"),$D$1)&amp;" "&amp;"L"))</f>
        <v>2.50 L</v>
      </c>
      <c r="R29" s="69" t="str">
        <f>IF(R26="","",IF(RTD("cqg.rtd",,"StudyData",A36,  "Bar",, "Close", "D",,,,,,"T")="","",TEXT(RTD("cqg.rtd",,"StudyData",A36,  "Bar",, "Close", "D",,,,,,"T"),$D$1)&amp;" "&amp;"L"))</f>
        <v>-9.25 L</v>
      </c>
      <c r="S29" s="69" t="str">
        <f>IF(S26="","",IF(RTD("cqg.rtd",,"StudyData",A37,  "Bar",, "Close", "D",,,,,,"T")="","",TEXT(RTD("cqg.rtd",,"StudyData",A37,  "Bar",, "Close", "D",,,,,,"T"),$D$1)&amp;" "&amp;"L"))</f>
        <v>.25 L</v>
      </c>
      <c r="T29" s="69" t="str">
        <f>IF(T26="","",IF(RTD("cqg.rtd",,"StudyData",A38,  "Bar",, "Close", "D",,,,,,"T")="","",TEXT(RTD("cqg.rtd",,"StudyData",A38,  "Bar",, "Close", "D",,,,,,"T"),$D$1)&amp;" "&amp;"L"))</f>
        <v>-5.50 L</v>
      </c>
      <c r="U29" s="69" t="str">
        <f>IF(U26="","",IF(RTD("cqg.rtd",,"StudyData",A39,  "Bar",, "Close", "D",,,,,,"T")="","",TEXT(RTD("cqg.rtd",,"StudyData",A39,  "Bar",, "Close", "D",,,,,,"T"),$D$1)&amp;" "&amp;"L"))</f>
        <v>-7.50 L</v>
      </c>
      <c r="V29" s="69" t="str">
        <f>IF(V26="","",IF(RTD("cqg.rtd",,"StudyData",A40,  "Bar",, "Close", "D",,,,,,"T")="","",TEXT(RTD("cqg.rtd",,"StudyData",A40,  "Bar",, "Close", "D",,,,,,"T"),$D$1)&amp;" "&amp;"L"))</f>
        <v/>
      </c>
    </row>
    <row r="30" spans="1:36" ht="15" customHeight="1" x14ac:dyDescent="0.3">
      <c r="A30" s="1" t="str">
        <f>IF(LEFT(RTD("cqg.rtd",,"ContractData",CLE!J17, "Symbol"),3)="768",NA(),RTD("cqg.rtd",,"ContractData",CLE!J17, "Symbol"))</f>
        <v>ZSES1F25</v>
      </c>
      <c r="B30" s="111" t="str">
        <f>IFERROR(LEFT(RIGHT(RTD("cqg.rtd", ,"ContractData",A30, "LongDescription",, "T"),13),3)&amp;" &amp; "&amp;LEFT(RIGHT(RTD("cqg.rtd", ,"ContractData",A30, "LongDescription",, "T"),4),3),"")</f>
        <v>F25 &amp; H25</v>
      </c>
      <c r="C30" s="40" t="str">
        <f>IF(B30="","",TEXT(RTD("cqg.rtd", ,"ContractData",A30, "Open",,"T"),$D$1))</f>
        <v>-13.25</v>
      </c>
      <c r="D30" s="40" t="str">
        <f>IF(B30="","",TEXT(RTD("cqg.rtd",,"ContractData",A30,"High",,"T"),$D$1))</f>
        <v>-11.75</v>
      </c>
      <c r="E30" s="40" t="str">
        <f>IF(B30="","",TEXT(RTD("cqg.rtd", ,"ContractData",A30, "Low",,"T"),$D$1))</f>
        <v>-13.25</v>
      </c>
      <c r="F30" s="40" t="str">
        <f>IF(B30="","",TEXT(RTD("cqg.rtd",,"ContractData",A30,"LastTradeorSettle",,"T"),$D$1))</f>
        <v>-11.75</v>
      </c>
      <c r="G30" s="74">
        <f>IF(B30="","",TEXT(RTD("cqg.rtd",,"ContractData",A30,"NetLastTradeToday",,"T"),$D$1)*1)</f>
        <v>1.5</v>
      </c>
      <c r="H30" s="75">
        <f>IFERROR(IF(B30="","",TEXT(RTD("cqg.rtd",,"ContractData",A30,"NetLastTradeToday",,"T"),$D$1)*1),"")</f>
        <v>1.5</v>
      </c>
      <c r="I30" s="41">
        <f>IF(B30="","",RTD("cqg.rtd", ,"ContractData",A30, "T_CVol"))</f>
        <v>9573</v>
      </c>
      <c r="J30" s="42"/>
      <c r="K30" s="77"/>
      <c r="L30" s="77"/>
      <c r="M30" s="77"/>
      <c r="N30" s="77"/>
      <c r="O30" s="77"/>
      <c r="P30" s="77"/>
      <c r="Q30" s="77"/>
      <c r="R30" s="78"/>
      <c r="S30" s="79"/>
      <c r="T30" s="79"/>
      <c r="U30" s="79"/>
      <c r="V30" s="80"/>
    </row>
    <row r="31" spans="1:36" ht="15" customHeight="1" x14ac:dyDescent="0.3">
      <c r="A31" s="1" t="str">
        <f>IF(LEFT(RTD("cqg.rtd",,"ContractData",CLE!J18, "Symbol"),3)="768",NA(),RTD("cqg.rtd",,"ContractData",CLE!J18, "Symbol"))</f>
        <v>ZSES1H25</v>
      </c>
      <c r="B31" s="111" t="str">
        <f>IFERROR(LEFT(RIGHT(RTD("cqg.rtd", ,"ContractData",A31, "LongDescription",, "T"),13),3)&amp;" &amp; "&amp;LEFT(RIGHT(RTD("cqg.rtd", ,"ContractData",A31, "LongDescription",, "T"),4),3),"")</f>
        <v>H25 &amp; K25</v>
      </c>
      <c r="C31" s="40" t="str">
        <f>IF(B31="","",TEXT(RTD("cqg.rtd", ,"ContractData",A31, "Open",,"T"),$D$1))</f>
        <v>-13.25</v>
      </c>
      <c r="D31" s="40" t="str">
        <f>IF(B31="","",TEXT(RTD("cqg.rtd",,"ContractData",A31,"High",,"T"),$D$1))</f>
        <v>-12.25</v>
      </c>
      <c r="E31" s="40" t="str">
        <f>IF(B31="","",TEXT(RTD("cqg.rtd", ,"ContractData",A31, "Low",,"T"),$D$1))</f>
        <v>-13.25</v>
      </c>
      <c r="F31" s="40" t="str">
        <f>IF(B31="","",TEXT(RTD("cqg.rtd",,"ContractData",A31,"LastTradeorSettle",,"T"),$D$1))</f>
        <v>-12.50</v>
      </c>
      <c r="G31" s="74">
        <f>IF(B31="","",TEXT(RTD("cqg.rtd",,"ContractData",A31,"NetLastTradeToday",,"T"),$D$1)*1)</f>
        <v>0.75</v>
      </c>
      <c r="H31" s="75">
        <f>IFERROR(IF(B31="","",TEXT(RTD("cqg.rtd",,"ContractData",A31,"NetLastTradeToday",,"T"),$D$1)*1),"")</f>
        <v>0.75</v>
      </c>
      <c r="I31" s="41">
        <f>IF(B31="","",RTD("cqg.rtd", ,"ContractData",A31, "T_CVol"))</f>
        <v>3035</v>
      </c>
      <c r="J31" s="42"/>
      <c r="K31" s="81"/>
      <c r="L31" s="81"/>
      <c r="M31" s="81"/>
      <c r="N31" s="81"/>
      <c r="O31" s="81"/>
      <c r="P31" s="81"/>
      <c r="Q31" s="81"/>
      <c r="R31" s="82"/>
      <c r="V31" s="83"/>
    </row>
    <row r="32" spans="1:36" ht="15" customHeight="1" x14ac:dyDescent="0.3">
      <c r="A32" s="1" t="str">
        <f>IF(LEFT(RTD("cqg.rtd",,"ContractData",CLE!J19, "Symbol"),3)="768",NA(),RTD("cqg.rtd",,"ContractData",CLE!J19, "Symbol"))</f>
        <v>ZSES1K25</v>
      </c>
      <c r="B32" s="111" t="str">
        <f>IFERROR(LEFT(RIGHT(RTD("cqg.rtd", ,"ContractData",A32, "LongDescription",, "T"),13),3)&amp;" &amp; "&amp;LEFT(RIGHT(RTD("cqg.rtd", ,"ContractData",A32, "LongDescription",, "T"),4),3),"")</f>
        <v>K25 &amp; N25</v>
      </c>
      <c r="C32" s="40" t="str">
        <f>IF(B32="","",TEXT(RTD("cqg.rtd", ,"ContractData",A32, "Open",,"T"),$D$1))</f>
        <v>-11.25</v>
      </c>
      <c r="D32" s="40" t="str">
        <f>IF(B32="","",TEXT(RTD("cqg.rtd",,"ContractData",A32,"High",,"T"),$D$1))</f>
        <v>-10.75</v>
      </c>
      <c r="E32" s="40" t="str">
        <f>IF(B32="","",TEXT(RTD("cqg.rtd", ,"ContractData",A32, "Low",,"T"),$D$1))</f>
        <v>-11.25</v>
      </c>
      <c r="F32" s="40" t="str">
        <f>IF(B32="","",TEXT(RTD("cqg.rtd",,"ContractData",A32,"LastTradeorSettle",,"T"),$D$1))</f>
        <v>-11.00</v>
      </c>
      <c r="G32" s="74">
        <f>IF(B32="","",TEXT(RTD("cqg.rtd",,"ContractData",A32,"NetLastTradeToday",,"T"),$D$1)*1)</f>
        <v>0.5</v>
      </c>
      <c r="H32" s="75">
        <f>IFERROR(IF(B32="","",TEXT(RTD("cqg.rtd",,"ContractData",A32,"NetLastTradeToday",,"T"),$D$1)*1),"")</f>
        <v>0.5</v>
      </c>
      <c r="I32" s="41">
        <f>IF(B32="","",RTD("cqg.rtd", ,"ContractData",A32, "T_CVol"))</f>
        <v>2055</v>
      </c>
      <c r="J32" s="42"/>
      <c r="K32" s="81"/>
      <c r="L32" s="81"/>
      <c r="M32" s="81"/>
      <c r="N32" s="81"/>
      <c r="O32" s="81"/>
      <c r="P32" s="81"/>
      <c r="Q32" s="81"/>
      <c r="R32" s="82"/>
      <c r="V32" s="83"/>
    </row>
    <row r="33" spans="1:24" ht="15" customHeight="1" x14ac:dyDescent="0.3">
      <c r="A33" s="1" t="str">
        <f>IF(LEFT(RTD("cqg.rtd",,"ContractData",CLE!J20, "Symbol"),3)="768",NA(),RTD("cqg.rtd",,"ContractData",CLE!J20, "Symbol"))</f>
        <v>ZSES1N25</v>
      </c>
      <c r="B33" s="111" t="str">
        <f>IFERROR(LEFT(RIGHT(RTD("cqg.rtd", ,"ContractData",A33, "LongDescription",, "T"),13),3)&amp;" &amp; "&amp;LEFT(RIGHT(RTD("cqg.rtd", ,"ContractData",A33, "LongDescription",, "T"),4),3),"")</f>
        <v>N25 &amp; Q25</v>
      </c>
      <c r="C33" s="40" t="str">
        <f>IF(B33="","",TEXT(RTD("cqg.rtd", ,"ContractData",A33, "Open",,"T"),$D$1))</f>
        <v>1.25</v>
      </c>
      <c r="D33" s="40" t="str">
        <f>IF(B33="","",TEXT(RTD("cqg.rtd",,"ContractData",A33,"High",,"T"),$D$1))</f>
        <v>2.50</v>
      </c>
      <c r="E33" s="40" t="str">
        <f>IF(B33="","",TEXT(RTD("cqg.rtd", ,"ContractData",A33, "Low",,"T"),$D$1))</f>
        <v>1.25</v>
      </c>
      <c r="F33" s="40" t="str">
        <f>IF(B33="","",TEXT(RTD("cqg.rtd",,"ContractData",A33,"LastTradeorSettle",,"T"),$D$1))</f>
        <v>2.00</v>
      </c>
      <c r="G33" s="74">
        <f>IF(B33="","",TEXT(RTD("cqg.rtd",,"ContractData",A33,"NetLastTradeToday",,"T"),$D$1)*1)</f>
        <v>1</v>
      </c>
      <c r="H33" s="75">
        <f>IFERROR(IF(B33="","",TEXT(RTD("cqg.rtd",,"ContractData",A33,"NetLastTradeToday",,"T"),$D$1)*1),"")</f>
        <v>1</v>
      </c>
      <c r="I33" s="41">
        <f>IF(B33="","",RTD("cqg.rtd", ,"ContractData",A33, "T_CVol"))</f>
        <v>419</v>
      </c>
      <c r="J33" s="42"/>
      <c r="K33" s="81"/>
      <c r="L33" s="81"/>
      <c r="M33" s="81"/>
      <c r="N33" s="81"/>
      <c r="O33" s="81"/>
      <c r="P33" s="81"/>
      <c r="Q33" s="81"/>
      <c r="R33" s="82"/>
      <c r="V33" s="83"/>
    </row>
    <row r="34" spans="1:24" ht="15" customHeight="1" x14ac:dyDescent="0.3">
      <c r="A34" s="1" t="str">
        <f>IF(LEFT(RTD("cqg.rtd",,"ContractData",CLE!J21, "Symbol"),3)="768",NA(),RTD("cqg.rtd",,"ContractData",CLE!J21, "Symbol"))</f>
        <v>ZSES1Q25</v>
      </c>
      <c r="B34" s="111" t="str">
        <f>IFERROR(LEFT(RIGHT(RTD("cqg.rtd", ,"ContractData",A34, "LongDescription",, "T"),13),3)&amp;" &amp; "&amp;LEFT(RIGHT(RTD("cqg.rtd", ,"ContractData",A34, "LongDescription",, "T"),4),3),"")</f>
        <v>Q25 &amp; U25</v>
      </c>
      <c r="C34" s="40" t="str">
        <f>IF(B34="","",TEXT(RTD("cqg.rtd", ,"ContractData",A34, "Open",,"T"),$D$1))</f>
        <v>13.50</v>
      </c>
      <c r="D34" s="40" t="str">
        <f>IF(B34="","",TEXT(RTD("cqg.rtd",,"ContractData",A34,"High",,"T"),$D$1))</f>
        <v>16.25</v>
      </c>
      <c r="E34" s="40" t="str">
        <f>IF(B34="","",TEXT(RTD("cqg.rtd", ,"ContractData",A34, "Low",,"T"),$D$1))</f>
        <v>13.50</v>
      </c>
      <c r="F34" s="40" t="str">
        <f>IF(B34="","",TEXT(RTD("cqg.rtd",,"ContractData",A34,"LastTradeorSettle",,"T"),$D$1))</f>
        <v>15.00</v>
      </c>
      <c r="G34" s="74">
        <f>IF(B34="","",TEXT(RTD("cqg.rtd",,"ContractData",A34,"NetLastTradeToday",,"T"),$D$1)*1)</f>
        <v>1.75</v>
      </c>
      <c r="H34" s="75">
        <f>IFERROR(IF(B34="","",TEXT(RTD("cqg.rtd",,"ContractData",A34,"NetLastTradeToday",,"T"),$D$1)*1),"")</f>
        <v>1.75</v>
      </c>
      <c r="I34" s="41">
        <f>IF(B34="","",RTD("cqg.rtd", ,"ContractData",A34, "T_CVol"))</f>
        <v>260</v>
      </c>
      <c r="J34" s="42"/>
      <c r="K34" s="81"/>
      <c r="L34" s="81"/>
      <c r="M34" s="81"/>
      <c r="N34" s="81"/>
      <c r="O34" s="81"/>
      <c r="P34" s="81"/>
      <c r="Q34" s="81"/>
      <c r="R34" s="82"/>
      <c r="V34" s="83"/>
    </row>
    <row r="35" spans="1:24" ht="15" customHeight="1" x14ac:dyDescent="0.3">
      <c r="A35" s="1" t="str">
        <f>IF(LEFT(RTD("cqg.rtd",,"ContractData",CLE!J22, "Symbol"),3)="768",NA(),RTD("cqg.rtd",,"ContractData",CLE!J22, "Symbol"))</f>
        <v>ZSES1U25</v>
      </c>
      <c r="B35" s="111" t="str">
        <f>IFERROR(LEFT(RIGHT(RTD("cqg.rtd", ,"ContractData",A35, "LongDescription",, "T"),13),3)&amp;" &amp; "&amp;LEFT(RIGHT(RTD("cqg.rtd", ,"ContractData",A35, "LongDescription",, "T"),4),3),"")</f>
        <v>U25 &amp; X25</v>
      </c>
      <c r="C35" s="40" t="str">
        <f>IF(B35="","",TEXT(RTD("cqg.rtd", ,"ContractData",A35, "Open",,"T"),$D$1))</f>
        <v>1.75</v>
      </c>
      <c r="D35" s="40" t="str">
        <f>IF(B35="","",TEXT(RTD("cqg.rtd",,"ContractData",A35,"High",,"T"),$D$1))</f>
        <v>3.50</v>
      </c>
      <c r="E35" s="40" t="str">
        <f>IF(B35="","",TEXT(RTD("cqg.rtd", ,"ContractData",A35, "Low",,"T"),$D$1))</f>
        <v>1.50</v>
      </c>
      <c r="F35" s="40" t="str">
        <f>IF(B35="","",TEXT(RTD("cqg.rtd",,"ContractData",A35,"LastTradeorSettle",,"T"),$D$1))</f>
        <v>2.50</v>
      </c>
      <c r="G35" s="74">
        <f>IF(B35="","",TEXT(RTD("cqg.rtd",,"ContractData",A35,"NetLastTradeToday",,"T"),$D$1)*1)</f>
        <v>1</v>
      </c>
      <c r="H35" s="75">
        <f>IFERROR(IF(B35="","",TEXT(RTD("cqg.rtd",,"ContractData",A35,"NetLastTradeToday",,"T"),$D$1)*1),"")</f>
        <v>1</v>
      </c>
      <c r="I35" s="41">
        <f>IF(B35="","",RTD("cqg.rtd", ,"ContractData",A35, "T_CVol"))</f>
        <v>356</v>
      </c>
      <c r="J35" s="42"/>
      <c r="K35" s="48"/>
      <c r="L35" s="48"/>
      <c r="M35" s="48"/>
      <c r="N35" s="48"/>
      <c r="O35" s="48"/>
      <c r="P35" s="48"/>
      <c r="Q35" s="48"/>
      <c r="R35" s="84"/>
      <c r="V35" s="83"/>
    </row>
    <row r="36" spans="1:24" ht="15" customHeight="1" x14ac:dyDescent="0.3">
      <c r="A36" s="1" t="str">
        <f>IF(LEFT(RTD("cqg.rtd",,"ContractData",CLE!J23, "Symbol"),3)="768",NA(),RTD("cqg.rtd",,"ContractData",CLE!J23, "Symbol"))</f>
        <v>ZSES1X25</v>
      </c>
      <c r="B36" s="111" t="str">
        <f>IFERROR(LEFT(RIGHT(RTD("cqg.rtd", ,"ContractData",A36, "LongDescription",, "T"),13),3)&amp;" &amp; "&amp;LEFT(RIGHT(RTD("cqg.rtd", ,"ContractData",A36, "LongDescription",, "T"),4),3),"")</f>
        <v>X25 &amp; F26</v>
      </c>
      <c r="C36" s="40" t="str">
        <f>IF(B36="","",TEXT(RTD("cqg.rtd", ,"ContractData",A36, "Open",,"T"),$D$1))</f>
        <v>-9.50</v>
      </c>
      <c r="D36" s="40" t="str">
        <f>IF(B36="","",TEXT(RTD("cqg.rtd",,"ContractData",A36,"High",,"T"),$D$1))</f>
        <v>-8.50</v>
      </c>
      <c r="E36" s="40" t="str">
        <f>IF(B36="","",TEXT(RTD("cqg.rtd", ,"ContractData",A36, "Low",,"T"),$D$1))</f>
        <v>-9.50</v>
      </c>
      <c r="F36" s="40" t="str">
        <f>IF(B36="","",TEXT(RTD("cqg.rtd",,"ContractData",A36,"LastTradeorSettle",,"T"),$D$1))</f>
        <v>-9.25</v>
      </c>
      <c r="G36" s="74">
        <f>IF(B36="","",TEXT(RTD("cqg.rtd",,"ContractData",A36,"NetLastTradeToday",,"T"),$D$1)*1)</f>
        <v>0</v>
      </c>
      <c r="H36" s="75">
        <f>IFERROR(IF(B36="","",TEXT(RTD("cqg.rtd",,"ContractData",A36,"NetLastTradeToday",,"T"),$D$1)*1),"")</f>
        <v>0</v>
      </c>
      <c r="I36" s="41">
        <f>IF(B36="","",RTD("cqg.rtd", ,"ContractData",A36, "T_CVol"))</f>
        <v>318</v>
      </c>
      <c r="J36" s="42"/>
      <c r="K36" s="81"/>
      <c r="L36" s="81"/>
      <c r="M36" s="81"/>
      <c r="N36" s="81"/>
      <c r="O36" s="81"/>
      <c r="P36" s="81"/>
      <c r="Q36" s="81"/>
      <c r="R36" s="82"/>
      <c r="V36" s="83"/>
    </row>
    <row r="37" spans="1:24" ht="15" customHeight="1" x14ac:dyDescent="0.3">
      <c r="A37" s="1" t="str">
        <f>IF(LEFT(RTD("cqg.rtd",,"ContractData",CLE!J24, "Symbol"),3)="768",NA(),RTD("cqg.rtd",,"ContractData",CLE!J24, "Symbol"))</f>
        <v>ZSES1F26</v>
      </c>
      <c r="B37" s="111" t="str">
        <f>IFERROR(LEFT(RIGHT(RTD("cqg.rtd", ,"ContractData",A37, "LongDescription",, "T"),13),3)&amp;" &amp; "&amp;LEFT(RIGHT(RTD("cqg.rtd", ,"ContractData",A37, "LongDescription",, "T"),4),3),"")</f>
        <v>F26 &amp; H26</v>
      </c>
      <c r="C37" s="40" t="str">
        <f>IF(B37="","",TEXT(RTD("cqg.rtd", ,"ContractData",A37, "Open",,"T"),$D$1))</f>
        <v>.50</v>
      </c>
      <c r="D37" s="40" t="str">
        <f>IF(B37="","",TEXT(RTD("cqg.rtd",,"ContractData",A37,"High",,"T"),$D$1))</f>
        <v>2.00</v>
      </c>
      <c r="E37" s="40" t="str">
        <f>IF(B37="","",TEXT(RTD("cqg.rtd", ,"ContractData",A37, "Low",,"T"),$D$1))</f>
        <v>.00</v>
      </c>
      <c r="F37" s="40" t="str">
        <f>IF(B37="","",TEXT(RTD("cqg.rtd",,"ContractData",A37,"LastTradeorSettle",,"T"),$D$1))</f>
        <v>.25</v>
      </c>
      <c r="G37" s="74">
        <f>IF(B37="","",TEXT(RTD("cqg.rtd",,"ContractData",A37,"NetLastTradeToday",,"T"),$D$1)*1)</f>
        <v>0.25</v>
      </c>
      <c r="H37" s="75">
        <f>IFERROR(IF(B37="","",TEXT(RTD("cqg.rtd",,"ContractData",A37,"NetLastTradeToday",,"T"),$D$1)*1),"")</f>
        <v>0.25</v>
      </c>
      <c r="I37" s="41">
        <f>IF(B37="","",RTD("cqg.rtd", ,"ContractData",A37, "T_CVol"))</f>
        <v>206</v>
      </c>
      <c r="J37" s="42"/>
      <c r="K37" s="81"/>
      <c r="L37" s="81"/>
      <c r="M37" s="81"/>
      <c r="N37" s="81"/>
      <c r="O37" s="81"/>
      <c r="P37" s="81"/>
      <c r="Q37" s="81"/>
      <c r="R37" s="82"/>
      <c r="V37" s="83"/>
    </row>
    <row r="38" spans="1:24" ht="15" customHeight="1" x14ac:dyDescent="0.3">
      <c r="A38" s="1" t="str">
        <f>IF(LEFT(RTD("cqg.rtd",,"ContractData",CLE!J25, "Symbol"),3)="768",NA(),RTD("cqg.rtd",,"ContractData",CLE!J25, "Symbol"))</f>
        <v>ZSES1H26</v>
      </c>
      <c r="B38" s="111" t="str">
        <f>IFERROR(LEFT(RIGHT(RTD("cqg.rtd", ,"ContractData",A38, "LongDescription",, "T"),13),3)&amp;" &amp; "&amp;LEFT(RIGHT(RTD("cqg.rtd", ,"ContractData",A38, "LongDescription",, "T"),4),3),"")</f>
        <v>H26 &amp; K26</v>
      </c>
      <c r="C38" s="40" t="str">
        <f>IF(B38="","",TEXT(RTD("cqg.rtd", ,"ContractData",A38, "Open",,"T"),$D$1))</f>
        <v>-5.75</v>
      </c>
      <c r="D38" s="40" t="str">
        <f>IF(B38="","",TEXT(RTD("cqg.rtd",,"ContractData",A38,"High",,"T"),$D$1))</f>
        <v>-5.00</v>
      </c>
      <c r="E38" s="40" t="str">
        <f>IF(B38="","",TEXT(RTD("cqg.rtd", ,"ContractData",A38, "Low",,"T"),$D$1))</f>
        <v>-5.75</v>
      </c>
      <c r="F38" s="40" t="str">
        <f>IF(B38="","",TEXT(RTD("cqg.rtd",,"ContractData",A38,"LastTradeorSettle",,"T"),$D$1))</f>
        <v>-5.50</v>
      </c>
      <c r="G38" s="74">
        <f>IF(B38="","",TEXT(RTD("cqg.rtd",,"ContractData",A38,"NetLastTradeToday",,"T"),$D$1)*1)</f>
        <v>0.5</v>
      </c>
      <c r="H38" s="75">
        <f>IFERROR(IF(B38="","",TEXT(RTD("cqg.rtd",,"ContractData",A38,"NetLastTradeToday",,"T"),$D$1)*1),"")</f>
        <v>0.5</v>
      </c>
      <c r="I38" s="41">
        <f>IF(B38="","",RTD("cqg.rtd", ,"ContractData",A38, "T_CVol"))</f>
        <v>119</v>
      </c>
      <c r="J38" s="42"/>
      <c r="K38" s="81"/>
      <c r="L38" s="81"/>
      <c r="M38" s="81"/>
      <c r="N38" s="81"/>
      <c r="O38" s="81"/>
      <c r="P38" s="81"/>
      <c r="Q38" s="81"/>
      <c r="R38" s="82"/>
      <c r="V38" s="83"/>
    </row>
    <row r="39" spans="1:24" ht="15" customHeight="1" x14ac:dyDescent="0.3">
      <c r="A39" s="1" t="str">
        <f>IF(LEFT(RTD("cqg.rtd",,"ContractData",CLE!J26, "Symbol"),3)="768",NA(),RTD("cqg.rtd",,"ContractData",CLE!J26, "Symbol"))</f>
        <v>ZSES1K26</v>
      </c>
      <c r="B39" s="111" t="str">
        <f>IFERROR(LEFT(RIGHT(RTD("cqg.rtd", ,"ContractData",A39, "LongDescription",, "T"),13),3)&amp;" &amp; "&amp;LEFT(RIGHT(RTD("cqg.rtd", ,"ContractData",A39, "LongDescription",, "T"),4),3),"")</f>
        <v>K26 &amp; N26</v>
      </c>
      <c r="C39" s="40" t="str">
        <f>IF(B39="","",TEXT(RTD("cqg.rtd", ,"ContractData",A39, "Open",,"T"),$D$1))</f>
        <v>-7.75</v>
      </c>
      <c r="D39" s="40" t="str">
        <f>IF(B39="","",TEXT(RTD("cqg.rtd",,"ContractData",A39,"High",,"T"),$D$1))</f>
        <v>-7.50</v>
      </c>
      <c r="E39" s="40" t="str">
        <f>IF(B39="","",TEXT(RTD("cqg.rtd", ,"ContractData",A39, "Low",,"T"),$D$1))</f>
        <v>-7.75</v>
      </c>
      <c r="F39" s="40" t="str">
        <f>IF(B39="","",TEXT(RTD("cqg.rtd",,"ContractData",A39,"LastTradeorSettle",,"T"),$D$1))</f>
        <v>-7.50</v>
      </c>
      <c r="G39" s="74">
        <f>IF(B39="","",TEXT(RTD("cqg.rtd",,"ContractData",A39,"NetLastTradeToday",,"T"),$D$1)*1)</f>
        <v>0.5</v>
      </c>
      <c r="H39" s="75">
        <f>IFERROR(IF(B39="","",TEXT(RTD("cqg.rtd",,"ContractData",A39,"NetLastTradeToday",,"T"),$D$1)*1),"")</f>
        <v>0.5</v>
      </c>
      <c r="I39" s="41">
        <f>IF(B39="","",RTD("cqg.rtd", ,"ContractData",A39, "T_CVol"))</f>
        <v>123</v>
      </c>
      <c r="J39" s="42"/>
      <c r="K39" s="81"/>
      <c r="L39" s="81"/>
      <c r="M39" s="81"/>
      <c r="N39" s="81"/>
      <c r="O39" s="81"/>
      <c r="P39" s="81"/>
      <c r="Q39" s="81"/>
      <c r="R39" s="82"/>
      <c r="V39" s="83"/>
    </row>
    <row r="40" spans="1:24" ht="15" customHeight="1" x14ac:dyDescent="0.3">
      <c r="A40" s="1" t="str">
        <f>IF(LEFT(RTD("cqg.rtd",,"ContractData",CLE!J27, "Symbol"),3)="768",NA(),RTD("cqg.rtd",,"ContractData",CLE!J27, "Symbol"))</f>
        <v>ZSES1N26</v>
      </c>
      <c r="B40" s="111" t="str">
        <f>IFERROR(LEFT(RIGHT(RTD("cqg.rtd", ,"ContractData",A40, "LongDescription",, "T"),13),3)&amp;" &amp; "&amp;LEFT(RIGHT(RTD("cqg.rtd", ,"ContractData",A40, "LongDescription",, "T"),4),3),"")</f>
        <v>N26 &amp; Q26</v>
      </c>
      <c r="C40" s="40" t="str">
        <f>IF(B40="","",TEXT(RTD("cqg.rtd", ,"ContractData",A40, "Open",,"T"),$D$1))</f>
        <v/>
      </c>
      <c r="D40" s="40" t="str">
        <f>IF(B40="","",TEXT(RTD("cqg.rtd",,"ContractData",A40,"High",,"T"),$D$1))</f>
        <v/>
      </c>
      <c r="E40" s="40" t="str">
        <f>IF(B40="","",TEXT(RTD("cqg.rtd", ,"ContractData",A40, "Low",,"T"),$D$1))</f>
        <v/>
      </c>
      <c r="F40" s="40" t="str">
        <f>IF(B40="","",TEXT(RTD("cqg.rtd",,"ContractData",A40,"LastTradeorSettle",,"T"),$D$1))</f>
        <v/>
      </c>
      <c r="G40" s="74" t="e">
        <f>IF(B40="","",TEXT(RTD("cqg.rtd",,"ContractData",A40,"NetLastTradeToday",,"T"),$D$1)*1)</f>
        <v>#VALUE!</v>
      </c>
      <c r="H40" s="75" t="str">
        <f>IFERROR(IF(B40="","",TEXT(RTD("cqg.rtd",,"ContractData",A40,"NetLastTradeToday",,"T"),$D$1)*1),"")</f>
        <v/>
      </c>
      <c r="I40" s="41">
        <f>IF(B40="","",RTD("cqg.rtd", ,"ContractData",A40, "T_CVol"))</f>
        <v>0</v>
      </c>
      <c r="J40" s="42"/>
      <c r="K40" s="81"/>
      <c r="L40" s="81"/>
      <c r="M40" s="81"/>
      <c r="N40" s="81"/>
      <c r="O40" s="81"/>
      <c r="P40" s="81"/>
      <c r="Q40" s="81"/>
      <c r="R40" s="82"/>
      <c r="V40" s="83"/>
    </row>
    <row r="41" spans="1:24" ht="12" customHeight="1" x14ac:dyDescent="0.3">
      <c r="B41" s="138"/>
      <c r="C41" s="139"/>
      <c r="D41" s="57"/>
      <c r="E41" s="58"/>
      <c r="F41" s="59"/>
      <c r="G41" s="58"/>
      <c r="H41" s="60"/>
      <c r="I41" s="58"/>
      <c r="J41" s="61"/>
      <c r="K41" s="85"/>
      <c r="L41" s="85"/>
      <c r="M41" s="85"/>
      <c r="N41" s="85"/>
      <c r="O41" s="85"/>
      <c r="P41" s="85"/>
      <c r="Q41" s="85"/>
      <c r="R41" s="86"/>
      <c r="S41" s="87"/>
      <c r="T41" s="87"/>
      <c r="U41" s="87"/>
      <c r="V41" s="88"/>
    </row>
    <row r="42" spans="1:24" ht="15" customHeight="1" x14ac:dyDescent="0.2">
      <c r="B42" s="116" t="s">
        <v>38</v>
      </c>
      <c r="C42" s="117"/>
      <c r="D42" s="117"/>
      <c r="E42" s="117"/>
      <c r="F42" s="117"/>
      <c r="G42" s="117"/>
      <c r="H42" s="117"/>
      <c r="I42" s="117"/>
      <c r="J42" s="66"/>
      <c r="K42" s="67" t="str">
        <f>B45</f>
        <v>X24 &amp; H25</v>
      </c>
      <c r="L42" s="89" t="str">
        <f>B46</f>
        <v>F25 &amp; K25</v>
      </c>
      <c r="M42" s="89" t="str">
        <f>B47</f>
        <v>H25 &amp; N25</v>
      </c>
      <c r="N42" s="89" t="str">
        <f>B48</f>
        <v>K25 &amp; Q25</v>
      </c>
      <c r="O42" s="89" t="str">
        <f>B49</f>
        <v>N25 &amp; U25</v>
      </c>
      <c r="P42" s="89" t="str">
        <f>B50</f>
        <v>Q25 &amp; X25</v>
      </c>
      <c r="Q42" s="20" t="str">
        <f>B51</f>
        <v>U25 &amp; F26</v>
      </c>
      <c r="R42" s="20" t="str">
        <f>B52</f>
        <v>X25 &amp; H26</v>
      </c>
      <c r="S42" s="20" t="str">
        <f>B53</f>
        <v>F26 &amp; K26</v>
      </c>
      <c r="T42" s="20" t="str">
        <f>B54</f>
        <v>H26 &amp; N26</v>
      </c>
      <c r="U42" s="20" t="str">
        <f>B55</f>
        <v>K26 &amp; Q26</v>
      </c>
      <c r="V42" s="20" t="str">
        <f>B56</f>
        <v>N26 &amp; U26</v>
      </c>
    </row>
    <row r="43" spans="1:24" ht="15" customHeight="1" x14ac:dyDescent="0.3">
      <c r="B43" s="118"/>
      <c r="C43" s="119"/>
      <c r="D43" s="119"/>
      <c r="E43" s="119"/>
      <c r="F43" s="119"/>
      <c r="G43" s="119"/>
      <c r="H43" s="119"/>
      <c r="I43" s="119"/>
      <c r="J43" s="66"/>
      <c r="K43" s="68" t="str">
        <f>IF(K42="","",IF(RTD("cqg.rtd",,"ContractData",A45,"Ask",,"T")="","",TEXT(RTD("cqg.rtd",,"ContractData",A45,"Ask",,"T"),$D$1)&amp;" "&amp;"A"))</f>
        <v>-22.25 A</v>
      </c>
      <c r="L43" s="22" t="str">
        <f>IF(L42="","",IF(RTD("cqg.rtd",,"ContractData",A46,"Ask",,"T")="","",TEXT(RTD("cqg.rtd",,"ContractData",A46,"Ask",,"T"),$D$1)&amp;" "&amp;"A"))</f>
        <v>-24.25 A</v>
      </c>
      <c r="M43" s="69" t="str">
        <f>IF(M42="","",IF(RTD("cqg.rtd",,"ContractData",A47,"Ask",,"T")="","",TEXT(RTD("cqg.rtd",,"ContractData",A47,"Ask",,"T"),$D$1)&amp;" "&amp;"A"))</f>
        <v>-23.50 A</v>
      </c>
      <c r="N43" s="69" t="str">
        <f>IF(N42="","",IF(RTD("cqg.rtd",,"ContractData",A48,"Ask",,"T")="","",TEXT(RTD("cqg.rtd",,"ContractData",A48,"Ask",,"T"),$D$1)&amp;" "&amp;"A"))</f>
        <v>-8.75 A</v>
      </c>
      <c r="O43" s="69" t="str">
        <f>IF(O42="","",IF(RTD("cqg.rtd",,"ContractData",A49,"Ask",,"T")="","",TEXT(RTD("cqg.rtd",,"ContractData",A49,"Ask",,"T"),$D$1)&amp;" "&amp;"A"))</f>
        <v>17.25 A</v>
      </c>
      <c r="P43" s="69" t="str">
        <f>IF(P42="","",IF(RTD("cqg.rtd",,"ContractData",A50,"Ask",,"T")="","",TEXT(RTD("cqg.rtd",,"ContractData",A50,"Ask",,"T"),$D$1)&amp;" "&amp;"A"))</f>
        <v>17.75 A</v>
      </c>
      <c r="Q43" s="69" t="str">
        <f>IF(Q42="","",IF(RTD("cqg.rtd",,"ContractData",A51,"Ask",,"T")="","",TEXT(RTD("cqg.rtd",,"ContractData",A51,"Ask",,"T"),$D$1)&amp;" "&amp;"A"))</f>
        <v>-6.25 A</v>
      </c>
      <c r="R43" s="69" t="str">
        <f>IF(R42="","",IF(RTD("cqg.rtd",,"ContractData",A52,"Ask",,"T")="","",TEXT(RTD("cqg.rtd",,"ContractData",A52,"Ask",,"T"),$D$1)&amp;" "&amp;"A"))</f>
        <v>-8.50 A</v>
      </c>
      <c r="S43" s="70" t="str">
        <f>IF(S42="","",IF(RTD("cqg.rtd",,"ContractData",A53,"Ask",,"T")="","",TEXT(RTD("cqg.rtd",,"ContractData",A53,"Ask",,"T"),$D$1)&amp;" "&amp;"A"))</f>
        <v>-3.75 A</v>
      </c>
      <c r="T43" s="69" t="str">
        <f>IF(T42="","",IF(RTD("cqg.rtd",,"ContractData",A54,"Ask",,"T")="","",TEXT(RTD("cqg.rtd",,"ContractData",A54,"Ask",,"T"),$D$1)&amp;" "&amp;"A"))</f>
        <v>-12.00 A</v>
      </c>
      <c r="U43" s="69" t="str">
        <f>IF(U42="","",IF(RTD("cqg.rtd",,"ContractData",A55,"Ask",,"T")="","",TEXT(RTD("cqg.rtd",,"ContractData",A55,"Ask",,"T"),$D$1)&amp;" "&amp;"A"))</f>
        <v/>
      </c>
      <c r="V43" s="69" t="str">
        <f>IF(V42="","",IF(RTD("cqg.rtd",,"ContractData",A56,"Ask",,"T")="","",TEXT(RTD("cqg.rtd",,"ContractData",A56,"Ask",,"T"),$D$1)&amp;" "&amp;"A"))</f>
        <v>17.50 A</v>
      </c>
    </row>
    <row r="44" spans="1:24" ht="15" customHeight="1" x14ac:dyDescent="0.3">
      <c r="B44" s="32" t="s">
        <v>16</v>
      </c>
      <c r="C44" s="33" t="s">
        <v>9</v>
      </c>
      <c r="D44" s="33" t="s">
        <v>10</v>
      </c>
      <c r="E44" s="33" t="s">
        <v>11</v>
      </c>
      <c r="F44" s="33" t="s">
        <v>8</v>
      </c>
      <c r="G44" s="33" t="s">
        <v>12</v>
      </c>
      <c r="H44" s="33" t="s">
        <v>12</v>
      </c>
      <c r="I44" s="71" t="s">
        <v>13</v>
      </c>
      <c r="J44" s="72"/>
      <c r="K44" s="73" t="str">
        <f>IF(K42="","",IF(RTD("cqg.rtd",,"ContractData",A45,"Bid",,"T")="","",TEXT(RTD("cqg.rtd",,"ContractData",A45,"Bid",,"T"),$D$1)&amp;" "&amp;"B"))</f>
        <v>-28.75 B</v>
      </c>
      <c r="L44" s="22" t="str">
        <f>IF(L42="","",IF(RTD("cqg.rtd",,"ContractData",A46,"Bid",,"T")="","",TEXT(RTD("cqg.rtd",,"ContractData",A46,"Bid",,"T"),$D$1)&amp;" "&amp;"B"))</f>
        <v>-24.50 B</v>
      </c>
      <c r="M44" s="69" t="str">
        <f>IF(M42="","",IF(RTD("cqg.rtd",,"ContractData",A47,"Bid",,"T")="","",TEXT(RTD("cqg.rtd",,"ContractData",A47,"Bid",,"T"),$D$1)&amp;" "&amp;"B"))</f>
        <v>-23.75 B</v>
      </c>
      <c r="N44" s="69" t="str">
        <f>IF(N42="","",IF(RTD("cqg.rtd",,"ContractData",A48,"Bid",,"T")="","",TEXT(RTD("cqg.rtd",,"ContractData",A48,"Bid",,"T"),$D$1)&amp;" "&amp;"B"))</f>
        <v>-9.00 B</v>
      </c>
      <c r="O44" s="69" t="str">
        <f>IF(O42="","",IF(RTD("cqg.rtd",,"ContractData",A49,"Bid",,"T")="","",TEXT(RTD("cqg.rtd",,"ContractData",A49,"Bid",,"T"),$D$1)&amp;" "&amp;"B"))</f>
        <v>17.00 B</v>
      </c>
      <c r="P44" s="69" t="str">
        <f>IF(P42="","",IF(RTD("cqg.rtd",,"ContractData",A50,"Bid",,"T")="","",TEXT(RTD("cqg.rtd",,"ContractData",A50,"Bid",,"T"),$D$1)&amp;" "&amp;"B"))</f>
        <v>17.25 B</v>
      </c>
      <c r="Q44" s="69" t="str">
        <f>IF(Q42="","",IF(RTD("cqg.rtd",,"ContractData",A51,"Bid",,"T")="","",TEXT(RTD("cqg.rtd",,"ContractData",A51,"Bid",,"T"),$D$1)&amp;" "&amp;"B"))</f>
        <v>-7.00 B</v>
      </c>
      <c r="R44" s="69" t="str">
        <f>IF(R42="","",IF(RTD("cqg.rtd",,"ContractData",A52,"Bid",,"T")="","",TEXT(RTD("cqg.rtd",,"ContractData",A52,"Bid",,"T"),$D$1)&amp;" "&amp;"B"))</f>
        <v>-9.00 B</v>
      </c>
      <c r="S44" s="69" t="str">
        <f>IF(S42="","",IF(RTD("cqg.rtd",,"ContractData",A53,"Bid",,"T")="","",TEXT(RTD("cqg.rtd",,"ContractData",A53,"Bid",,"T"),$D$1)&amp;" "&amp;"B"))</f>
        <v>-6.25 B</v>
      </c>
      <c r="T44" s="69" t="str">
        <f>IF(T42="","",IF(RTD("cqg.rtd",,"ContractData",A54,"Bid",,"T")="","",TEXT(RTD("cqg.rtd",,"ContractData",A54,"Bid",,"T"),$D$1)&amp;" "&amp;"B"))</f>
        <v>-13.50 B</v>
      </c>
      <c r="U44" s="69" t="str">
        <f>IF(U42="","",IF(RTD("cqg.rtd",,"ContractData",A55,"Bid",,"T")="","",TEXT(RTD("cqg.rtd",,"ContractData",A55,"Bid",,"T"),$D$1)&amp;" "&amp;"B"))</f>
        <v/>
      </c>
      <c r="V44" s="69" t="str">
        <f>IF(V42="","",IF(RTD("cqg.rtd",,"ContractData",A56,"Bid",,"T")="","",TEXT(RTD("cqg.rtd",,"ContractData",A56,"Bid",,"T"),$D$1)&amp;" "&amp;"B"))</f>
        <v>9.25 B</v>
      </c>
      <c r="X44" s="2"/>
    </row>
    <row r="45" spans="1:24" ht="15" customHeight="1" x14ac:dyDescent="0.3">
      <c r="A45" s="1" t="str">
        <f>IF(LEFT(RTD("cqg.rtd",,"ContractData",'CLE2'!J16, "Symbol"),3)="768",NA(),RTD("cqg.rtd",,"ContractData",'CLE2'!J16, "Symbol"))</f>
        <v>ZSES2X24</v>
      </c>
      <c r="B45" s="111" t="str">
        <f>IFERROR(LEFT(RIGHT(RTD("cqg.rtd", ,"ContractData",A45, "LongDescription",, "T"),13),3)&amp;" &amp; "&amp;LEFT(RIGHT(RTD("cqg.rtd", ,"ContractData",A45, "LongDescription",, "T"),4),3),"")</f>
        <v>X24 &amp; H25</v>
      </c>
      <c r="C45" s="40" t="str">
        <f>IF(B45="","",TEXT(RTD("cqg.rtd", ,"ContractData",A45, "Open",,"T"),$D$1))</f>
        <v>-21.50</v>
      </c>
      <c r="D45" s="40" t="str">
        <f>IF(B45="","",TEXT(RTD("cqg.rtd",,"ContractData",A45,"High",,"T"),$D$1))</f>
        <v>-21.50</v>
      </c>
      <c r="E45" s="40" t="str">
        <f>IF(B45="","",TEXT(RTD("cqg.rtd", ,"ContractData",A45, "Low",,"T"),$D$1))</f>
        <v>-21.50</v>
      </c>
      <c r="F45" s="40" t="str">
        <f>IF(B45="","",TEXT(RTD("cqg.rtd",,"ContractData",A45,"LastTradeorSettle",,"T"),$D$1))</f>
        <v>-21.50</v>
      </c>
      <c r="G45" s="74">
        <f>IF(B45="","",TEXT(RTD("cqg.rtd",,"ContractData",A45,"NetLastTradeToday",,"T"),$D$1)*1)</f>
        <v>5.25</v>
      </c>
      <c r="H45" s="75">
        <f>IFERROR(IF(B45="","",TEXT(RTD("cqg.rtd",,"ContractData",A45,"NetLastTradeToday",,"T"),$D$1)*1),"")</f>
        <v>5.25</v>
      </c>
      <c r="I45" s="41">
        <f>IF(B45="","",RTD("cqg.rtd", ,"ContractData",A45, "T_CVol"))</f>
        <v>1</v>
      </c>
      <c r="J45" s="42"/>
      <c r="K45" s="76" t="str">
        <f>IF(K42="","",IF(RTD("cqg.rtd",,"StudyData",A45,  "Bar",, "Close", "D",,,,,,"T")="","",TEXT(RTD("cqg.rtd",,"StudyData",A45,  "Bar",, "Close", "D",,,,,,"T"),$D$1)&amp;" "&amp;"L"))</f>
        <v>-21.50 L</v>
      </c>
      <c r="L45" s="76" t="str">
        <f>IF(L42="","",IF(RTD("cqg.rtd",,"StudyData",A46,  "Bar",, "Close", "D",,,,,,"T")="","",TEXT(RTD("cqg.rtd",,"StudyData",A46,  "Bar",, "Close", "D",,,,,,"T"),$D$1)&amp;" "&amp;"L"))</f>
        <v>-24.50 L</v>
      </c>
      <c r="M45" s="69" t="str">
        <f>IF(M42="","",IF(RTD("cqg.rtd",,"StudyData",A47,  "Bar",, "Close", "D",,,,,,"T")="","",TEXT(RTD("cqg.rtd",,"StudyData",A47,  "Bar",, "Close", "D",,,,,,"T"),$D$1)&amp;" "&amp;"L"))</f>
        <v>-23.50 L</v>
      </c>
      <c r="N45" s="69" t="str">
        <f>IF(N42="","",IF(RTD("cqg.rtd",,"StudyData",A48,  "Bar",, "Close", "D",,,,,,"T")="","",TEXT(RTD("cqg.rtd",,"StudyData",A48,  "Bar",, "Close", "D",,,,,,"T"),$D$1)&amp;" "&amp;"L"))</f>
        <v>-9.00 L</v>
      </c>
      <c r="O45" s="69" t="str">
        <f>IF(O42="","",IF(RTD("cqg.rtd",,"StudyData",A49,  "Bar",, "Close", "D",,,,,,"T")="","",TEXT(RTD("cqg.rtd",,"StudyData",A49,  "Bar",, "Close", "D",,,,,,"T"),$D$1)&amp;" "&amp;"L"))</f>
        <v>17.25 L</v>
      </c>
      <c r="P45" s="69" t="str">
        <f>IF(P42="","",IF(RTD("cqg.rtd",,"StudyData",A50,  "Bar",, "Close", "D",,,,,,"T")="","",TEXT(RTD("cqg.rtd",,"StudyData",A50,  "Bar",, "Close", "D",,,,,,"T"),$D$1)&amp;" "&amp;"L"))</f>
        <v>17.75 L</v>
      </c>
      <c r="Q45" s="69" t="str">
        <f>IF(Q42="","",IF(RTD("cqg.rtd",,"StudyData",A51,  "Bar",, "Close", "D",,,,,,"T")="","",TEXT(RTD("cqg.rtd",,"StudyData",A51,  "Bar",, "Close", "D",,,,,,"T"),$D$1)&amp;" "&amp;"L"))</f>
        <v>-6.75 L</v>
      </c>
      <c r="R45" s="69" t="str">
        <f>IF(R42="","",IF(RTD("cqg.rtd",,"StudyData",A52,  "Bar",, "Close", "D",,,,,,"T")="","",TEXT(RTD("cqg.rtd",,"StudyData",A52,  "Bar",, "Close", "D",,,,,,"T"),$D$1)&amp;" "&amp;"L"))</f>
        <v>-8.75 L</v>
      </c>
      <c r="S45" s="69" t="str">
        <f>IF(S42="","",IF(RTD("cqg.rtd",,"StudyData",A53,  "Bar",, "Close", "D",,,,,,"T")="","",TEXT(RTD("cqg.rtd",,"StudyData",A53,  "Bar",, "Close", "D",,,,,,"T"),$D$1)&amp;" "&amp;"L"))</f>
        <v/>
      </c>
      <c r="T45" s="69" t="str">
        <f>IF(T42="","",IF(RTD("cqg.rtd",,"StudyData",A54,  "Bar",, "Close", "D",,,,,,"T")="","",TEXT(RTD("cqg.rtd",,"StudyData",A54,  "Bar",, "Close", "D",,,,,,"T"),$D$1)&amp;" "&amp;"L"))</f>
        <v>-12.75 L</v>
      </c>
      <c r="U45" s="69" t="str">
        <f>IF(U42="","",IF(RTD("cqg.rtd",,"StudyData",A55,  "Bar",, "Close", "D",,,,,,"T")="","",TEXT(RTD("cqg.rtd",,"StudyData",A55,  "Bar",, "Close", "D",,,,,,"T"),$D$1)&amp;" "&amp;"L"))</f>
        <v/>
      </c>
      <c r="V45" s="69" t="str">
        <f>IF(V42="","",IF(RTD("cqg.rtd",,"StudyData",A56,  "Bar",, "Close", "D",,,,,,"T")="","",TEXT(RTD("cqg.rtd",,"StudyData",A56,  "Bar",, "Close", "D",,,,,,"T"),$D$1)&amp;" "&amp;"L"))</f>
        <v/>
      </c>
    </row>
    <row r="46" spans="1:24" ht="15" customHeight="1" x14ac:dyDescent="0.3">
      <c r="A46" s="1" t="str">
        <f>IF(LEFT(RTD("cqg.rtd",,"ContractData",'CLE2'!J17, "Symbol"),3)="768",NA(),RTD("cqg.rtd",,"ContractData",'CLE2'!J17, "Symbol"))</f>
        <v>ZSES2F25</v>
      </c>
      <c r="B46" s="111" t="str">
        <f>IFERROR(LEFT(RIGHT(RTD("cqg.rtd", ,"ContractData",A46, "LongDescription",, "T"),13),3)&amp;" &amp; "&amp;LEFT(RIGHT(RTD("cqg.rtd", ,"ContractData",A46, "LongDescription",, "T"),4),3),"")</f>
        <v>F25 &amp; K25</v>
      </c>
      <c r="C46" s="40" t="str">
        <f>IF(B46="","",TEXT(RTD("cqg.rtd", ,"ContractData",A46, "Open",,"T"),$D$1))</f>
        <v>-26.50</v>
      </c>
      <c r="D46" s="40" t="str">
        <f>IF(B46="","",TEXT(RTD("cqg.rtd",,"ContractData",A46,"High",,"T"),$D$1))</f>
        <v>-24.00</v>
      </c>
      <c r="E46" s="40" t="str">
        <f>IF(B46="","",TEXT(RTD("cqg.rtd", ,"ContractData",A46, "Low",,"T"),$D$1))</f>
        <v>-26.50</v>
      </c>
      <c r="F46" s="40" t="str">
        <f>IF(B46="","",TEXT(RTD("cqg.rtd",,"ContractData",A46,"LastTradeorSettle",,"T"),$D$1))</f>
        <v>-24.50</v>
      </c>
      <c r="G46" s="74">
        <f>IF(B46="","",TEXT(RTD("cqg.rtd",,"ContractData",A46,"NetLastTradeToday",,"T"),$D$1)*1)</f>
        <v>2</v>
      </c>
      <c r="H46" s="75">
        <f>IFERROR(IF(B46="","",TEXT(RTD("cqg.rtd",,"ContractData",A46,"NetLastTradeToday",,"T"),$D$1)*1),"")</f>
        <v>2</v>
      </c>
      <c r="I46" s="41">
        <f>IF(B46="","",RTD("cqg.rtd", ,"ContractData",A46, "T_CVol"))</f>
        <v>2857</v>
      </c>
      <c r="J46" s="42"/>
      <c r="K46" s="81"/>
      <c r="L46" s="81"/>
      <c r="M46" s="81"/>
      <c r="N46" s="81"/>
      <c r="O46" s="81"/>
      <c r="P46" s="81"/>
      <c r="Q46" s="81"/>
      <c r="R46" s="82"/>
      <c r="V46" s="90"/>
    </row>
    <row r="47" spans="1:24" ht="15" customHeight="1" x14ac:dyDescent="0.3">
      <c r="A47" s="1" t="str">
        <f>IF(LEFT(RTD("cqg.rtd",,"ContractData",'CLE2'!J18, "Symbol"),3)="768",NA(),RTD("cqg.rtd",,"ContractData",'CLE2'!J18, "Symbol"))</f>
        <v>ZSES2H25</v>
      </c>
      <c r="B47" s="111" t="str">
        <f>IFERROR(LEFT(RIGHT(RTD("cqg.rtd", ,"ContractData",A47, "LongDescription",, "T"),13),3)&amp;" &amp; "&amp;LEFT(RIGHT(RTD("cqg.rtd", ,"ContractData",A47, "LongDescription",, "T"),4),3),"")</f>
        <v>H25 &amp; N25</v>
      </c>
      <c r="C47" s="40" t="str">
        <f>IF(B47="","",TEXT(RTD("cqg.rtd", ,"ContractData",A47, "Open",,"T"),$D$1))</f>
        <v>-24.50</v>
      </c>
      <c r="D47" s="40" t="str">
        <f>IF(B47="","",TEXT(RTD("cqg.rtd",,"ContractData",A47,"High",,"T"),$D$1))</f>
        <v>-23.00</v>
      </c>
      <c r="E47" s="40" t="str">
        <f>IF(B47="","",TEXT(RTD("cqg.rtd", ,"ContractData",A47, "Low",,"T"),$D$1))</f>
        <v>-24.75</v>
      </c>
      <c r="F47" s="40" t="str">
        <f>IF(B47="","",TEXT(RTD("cqg.rtd",,"ContractData",A47,"LastTradeorSettle",,"T"),$D$1))</f>
        <v>-23.50</v>
      </c>
      <c r="G47" s="74">
        <f>IF(B47="","",TEXT(RTD("cqg.rtd",,"ContractData",A47,"NetLastTradeToday",,"T"),$D$1)*1)</f>
        <v>1.25</v>
      </c>
      <c r="H47" s="75">
        <f>IFERROR(IF(B47="","",TEXT(RTD("cqg.rtd",,"ContractData",A47,"NetLastTradeToday",,"T"),$D$1)*1),"")</f>
        <v>1.25</v>
      </c>
      <c r="I47" s="41">
        <f>IF(B47="","",RTD("cqg.rtd", ,"ContractData",A47, "T_CVol"))</f>
        <v>1402</v>
      </c>
      <c r="J47" s="42"/>
      <c r="K47" s="81"/>
      <c r="L47" s="81"/>
      <c r="M47" s="81"/>
      <c r="N47" s="81"/>
      <c r="O47" s="81"/>
      <c r="P47" s="81"/>
      <c r="Q47" s="81"/>
      <c r="R47" s="82"/>
      <c r="V47" s="91"/>
    </row>
    <row r="48" spans="1:24" ht="15" customHeight="1" x14ac:dyDescent="0.3">
      <c r="A48" s="1" t="str">
        <f>IF(LEFT(RTD("cqg.rtd",,"ContractData",'CLE2'!J19, "Symbol"),3)="768",NA(),RTD("cqg.rtd",,"ContractData",'CLE2'!J19, "Symbol"))</f>
        <v>ZSES2K25</v>
      </c>
      <c r="B48" s="111" t="str">
        <f>IFERROR(LEFT(RIGHT(RTD("cqg.rtd", ,"ContractData",A48, "LongDescription",, "T"),13),3)&amp;" &amp; "&amp;LEFT(RIGHT(RTD("cqg.rtd", ,"ContractData",A48, "LongDescription",, "T"),4),3),"")</f>
        <v>K25 &amp; Q25</v>
      </c>
      <c r="C48" s="40" t="str">
        <f>IF(B48="","",TEXT(RTD("cqg.rtd", ,"ContractData",A48, "Open",,"T"),$D$1))</f>
        <v>-9.75</v>
      </c>
      <c r="D48" s="40" t="str">
        <f>IF(B48="","",TEXT(RTD("cqg.rtd",,"ContractData",A48,"High",,"T"),$D$1))</f>
        <v>-8.25</v>
      </c>
      <c r="E48" s="40" t="str">
        <f>IF(B48="","",TEXT(RTD("cqg.rtd", ,"ContractData",A48, "Low",,"T"),$D$1))</f>
        <v>-9.75</v>
      </c>
      <c r="F48" s="40" t="str">
        <f>IF(B48="","",TEXT(RTD("cqg.rtd",,"ContractData",A48,"LastTradeorSettle",,"T"),$D$1))</f>
        <v>-9.00</v>
      </c>
      <c r="G48" s="74">
        <f>IF(B48="","",TEXT(RTD("cqg.rtd",,"ContractData",A48,"NetLastTradeToday",,"T"),$D$1)*1)</f>
        <v>1.5</v>
      </c>
      <c r="H48" s="75">
        <f>IFERROR(IF(B48="","",TEXT(RTD("cqg.rtd",,"ContractData",A48,"NetLastTradeToday",,"T"),$D$1)*1),"")</f>
        <v>1.5</v>
      </c>
      <c r="I48" s="41">
        <f>IF(B48="","",RTD("cqg.rtd", ,"ContractData",A48, "T_CVol"))</f>
        <v>83</v>
      </c>
      <c r="J48" s="42"/>
      <c r="K48" s="81"/>
      <c r="L48" s="81"/>
      <c r="M48" s="81"/>
      <c r="N48" s="81"/>
      <c r="O48" s="81"/>
      <c r="P48" s="81"/>
      <c r="Q48" s="81"/>
      <c r="R48" s="82"/>
      <c r="V48" s="91"/>
    </row>
    <row r="49" spans="1:22" ht="15" customHeight="1" x14ac:dyDescent="0.3">
      <c r="A49" s="1" t="str">
        <f>IF(LEFT(RTD("cqg.rtd",,"ContractData",'CLE2'!J20, "Symbol"),3)="768",NA(),RTD("cqg.rtd",,"ContractData",'CLE2'!J20, "Symbol"))</f>
        <v>ZSES2N25</v>
      </c>
      <c r="B49" s="111" t="str">
        <f>IFERROR(LEFT(RIGHT(RTD("cqg.rtd", ,"ContractData",A49, "LongDescription",, "T"),13),3)&amp;" &amp; "&amp;LEFT(RIGHT(RTD("cqg.rtd", ,"ContractData",A49, "LongDescription",, "T"),4),3),"")</f>
        <v>N25 &amp; U25</v>
      </c>
      <c r="C49" s="40" t="str">
        <f>IF(B49="","",TEXT(RTD("cqg.rtd", ,"ContractData",A49, "Open",,"T"),$D$1))</f>
        <v>15.25</v>
      </c>
      <c r="D49" s="40" t="str">
        <f>IF(B49="","",TEXT(RTD("cqg.rtd",,"ContractData",A49,"High",,"T"),$D$1))</f>
        <v>19.00</v>
      </c>
      <c r="E49" s="40" t="str">
        <f>IF(B49="","",TEXT(RTD("cqg.rtd", ,"ContractData",A49, "Low",,"T"),$D$1))</f>
        <v>14.75</v>
      </c>
      <c r="F49" s="40" t="str">
        <f>IF(B49="","",TEXT(RTD("cqg.rtd",,"ContractData",A49,"LastTradeorSettle",,"T"),$D$1))</f>
        <v>17.25</v>
      </c>
      <c r="G49" s="74">
        <f>IF(B49="","",TEXT(RTD("cqg.rtd",,"ContractData",A49,"NetLastTradeToday",,"T"),$D$1)*1)</f>
        <v>3</v>
      </c>
      <c r="H49" s="75">
        <f>IFERROR(IF(B49="","",TEXT(RTD("cqg.rtd",,"ContractData",A49,"NetLastTradeToday",,"T"),$D$1)*1),"")</f>
        <v>3</v>
      </c>
      <c r="I49" s="41">
        <f>IF(B49="","",RTD("cqg.rtd", ,"ContractData",A49, "T_CVol"))</f>
        <v>98</v>
      </c>
      <c r="J49" s="42"/>
      <c r="K49" s="81"/>
      <c r="L49" s="81"/>
      <c r="M49" s="81"/>
      <c r="N49" s="81"/>
      <c r="O49" s="81"/>
      <c r="P49" s="81"/>
      <c r="Q49" s="81"/>
      <c r="R49" s="82"/>
      <c r="V49" s="91"/>
    </row>
    <row r="50" spans="1:22" ht="15" customHeight="1" x14ac:dyDescent="0.3">
      <c r="A50" s="1" t="str">
        <f>IF(LEFT(RTD("cqg.rtd",,"ContractData",'CLE2'!J21, "Symbol"),3)="768",NA(),RTD("cqg.rtd",,"ContractData",'CLE2'!J21, "Symbol"))</f>
        <v>ZSES2Q25</v>
      </c>
      <c r="B50" s="111" t="str">
        <f>IFERROR(LEFT(RIGHT(RTD("cqg.rtd", ,"ContractData",A50, "LongDescription",, "T"),13),3)&amp;" &amp; "&amp;LEFT(RIGHT(RTD("cqg.rtd", ,"ContractData",A50, "LongDescription",, "T"),4),3),"")</f>
        <v>Q25 &amp; X25</v>
      </c>
      <c r="C50" s="40" t="str">
        <f>IF(B50="","",TEXT(RTD("cqg.rtd", ,"ContractData",A50, "Open",,"T"),$D$1))</f>
        <v>15.25</v>
      </c>
      <c r="D50" s="40" t="str">
        <f>IF(B50="","",TEXT(RTD("cqg.rtd",,"ContractData",A50,"High",,"T"),$D$1))</f>
        <v>19.75</v>
      </c>
      <c r="E50" s="40" t="str">
        <f>IF(B50="","",TEXT(RTD("cqg.rtd", ,"ContractData",A50, "Low",,"T"),$D$1))</f>
        <v>15.00</v>
      </c>
      <c r="F50" s="40" t="str">
        <f>IF(B50="","",TEXT(RTD("cqg.rtd",,"ContractData",A50,"LastTradeorSettle",,"T"),$D$1))</f>
        <v>17.75</v>
      </c>
      <c r="G50" s="74">
        <f>IF(B50="","",TEXT(RTD("cqg.rtd",,"ContractData",A50,"NetLastTradeToday",,"T"),$D$1)*1)</f>
        <v>3</v>
      </c>
      <c r="H50" s="75">
        <f>IFERROR(IF(B50="","",TEXT(RTD("cqg.rtd",,"ContractData",A50,"NetLastTradeToday",,"T"),$D$1)*1),"")</f>
        <v>3</v>
      </c>
      <c r="I50" s="41">
        <f>IF(B50="","",RTD("cqg.rtd", ,"ContractData",A50, "T_CVol"))</f>
        <v>67</v>
      </c>
      <c r="J50" s="42"/>
      <c r="K50" s="81"/>
      <c r="L50" s="81"/>
      <c r="M50" s="81"/>
      <c r="N50" s="81"/>
      <c r="O50" s="81"/>
      <c r="P50" s="81"/>
      <c r="Q50" s="81"/>
      <c r="R50" s="82"/>
      <c r="V50" s="91"/>
    </row>
    <row r="51" spans="1:22" ht="15" customHeight="1" x14ac:dyDescent="0.3">
      <c r="A51" s="1" t="str">
        <f>IF(LEFT(RTD("cqg.rtd",,"ContractData",'CLE2'!J22, "Symbol"),3)="768",NA(),RTD("cqg.rtd",,"ContractData",'CLE2'!J22, "Symbol"))</f>
        <v>ZSES2U25</v>
      </c>
      <c r="B51" s="111" t="str">
        <f>IFERROR(LEFT(RIGHT(RTD("cqg.rtd", ,"ContractData",A51, "LongDescription",, "T"),13),3)&amp;" &amp; "&amp;LEFT(RIGHT(RTD("cqg.rtd", ,"ContractData",A51, "LongDescription",, "T"),4),3),"")</f>
        <v>U25 &amp; F26</v>
      </c>
      <c r="C51" s="40" t="str">
        <f>IF(B51="","",TEXT(RTD("cqg.rtd", ,"ContractData",A51, "Open",,"T"),$D$1))</f>
        <v>-6.50</v>
      </c>
      <c r="D51" s="40" t="str">
        <f>IF(B51="","",TEXT(RTD("cqg.rtd",,"ContractData",A51,"High",,"T"),$D$1))</f>
        <v>-5.75</v>
      </c>
      <c r="E51" s="40" t="str">
        <f>IF(B51="","",TEXT(RTD("cqg.rtd", ,"ContractData",A51, "Low",,"T"),$D$1))</f>
        <v>-6.75</v>
      </c>
      <c r="F51" s="40" t="str">
        <f>IF(B51="","",TEXT(RTD("cqg.rtd",,"ContractData",A51,"LastTradeorSettle",,"T"),$D$1))</f>
        <v>-6.75</v>
      </c>
      <c r="G51" s="74">
        <f>IF(B51="","",TEXT(RTD("cqg.rtd",,"ContractData",A51,"NetLastTradeToday",,"T"),$D$1)*1)</f>
        <v>1</v>
      </c>
      <c r="H51" s="75">
        <f>IFERROR(IF(B51="","",TEXT(RTD("cqg.rtd",,"ContractData",A51,"NetLastTradeToday",,"T"),$D$1)*1),"")</f>
        <v>1</v>
      </c>
      <c r="I51" s="41">
        <f>IF(B51="","",RTD("cqg.rtd", ,"ContractData",A51, "T_CVol"))</f>
        <v>3</v>
      </c>
      <c r="J51" s="42"/>
      <c r="K51" s="81"/>
      <c r="L51" s="81"/>
      <c r="M51" s="81"/>
      <c r="N51" s="81"/>
      <c r="O51" s="81"/>
      <c r="P51" s="81"/>
      <c r="Q51" s="81"/>
      <c r="R51" s="82"/>
      <c r="V51" s="91"/>
    </row>
    <row r="52" spans="1:22" ht="15" customHeight="1" x14ac:dyDescent="0.3">
      <c r="A52" s="1" t="str">
        <f>IF(LEFT(RTD("cqg.rtd",,"ContractData",'CLE2'!J23, "Symbol"),3)="768",NA(),RTD("cqg.rtd",,"ContractData",'CLE2'!J23, "Symbol"))</f>
        <v>ZSES2X25</v>
      </c>
      <c r="B52" s="111" t="str">
        <f>IFERROR(LEFT(RIGHT(RTD("cqg.rtd", ,"ContractData",A52, "LongDescription",, "T"),13),3)&amp;" &amp; "&amp;LEFT(RIGHT(RTD("cqg.rtd", ,"ContractData",A52, "LongDescription",, "T"),4),3),"")</f>
        <v>X25 &amp; H26</v>
      </c>
      <c r="C52" s="40" t="str">
        <f>IF(B52="","",TEXT(RTD("cqg.rtd", ,"ContractData",A52, "Open",,"T"),$D$1))</f>
        <v>-8.75</v>
      </c>
      <c r="D52" s="40" t="str">
        <f>IF(B52="","",TEXT(RTD("cqg.rtd",,"ContractData",A52,"High",,"T"),$D$1))</f>
        <v>-6.25</v>
      </c>
      <c r="E52" s="40" t="str">
        <f>IF(B52="","",TEXT(RTD("cqg.rtd", ,"ContractData",A52, "Low",,"T"),$D$1))</f>
        <v>-8.75</v>
      </c>
      <c r="F52" s="40" t="str">
        <f>IF(B52="","",TEXT(RTD("cqg.rtd",,"ContractData",A52,"LastTradeorSettle",,"T"),$D$1))</f>
        <v>-8.75</v>
      </c>
      <c r="G52" s="74">
        <f>IF(B52="","",TEXT(RTD("cqg.rtd",,"ContractData",A52,"NetLastTradeToday",,"T"),$D$1)*1)</f>
        <v>0.5</v>
      </c>
      <c r="H52" s="75">
        <f>IFERROR(IF(B52="","",TEXT(RTD("cqg.rtd",,"ContractData",A52,"NetLastTradeToday",,"T"),$D$1)*1),"")</f>
        <v>0.5</v>
      </c>
      <c r="I52" s="41">
        <f>IF(B52="","",RTD("cqg.rtd", ,"ContractData",A52, "T_CVol"))</f>
        <v>213</v>
      </c>
      <c r="J52" s="42"/>
      <c r="K52" s="81"/>
      <c r="L52" s="81"/>
      <c r="M52" s="81"/>
      <c r="N52" s="81"/>
      <c r="O52" s="81"/>
      <c r="P52" s="81"/>
      <c r="Q52" s="81"/>
      <c r="R52" s="82"/>
      <c r="V52" s="91"/>
    </row>
    <row r="53" spans="1:22" ht="15" customHeight="1" x14ac:dyDescent="0.3">
      <c r="A53" s="1" t="str">
        <f>IF(LEFT(RTD("cqg.rtd",,"ContractData",'CLE2'!J24, "Symbol"),3)="768",NA(),RTD("cqg.rtd",,"ContractData",'CLE2'!J24, "Symbol"))</f>
        <v>ZSES2F26</v>
      </c>
      <c r="B53" s="111" t="str">
        <f>IFERROR(LEFT(RIGHT(RTD("cqg.rtd", ,"ContractData",A53, "LongDescription",, "T"),13),3)&amp;" &amp; "&amp;LEFT(RIGHT(RTD("cqg.rtd", ,"ContractData",A53, "LongDescription",, "T"),4),3),"")</f>
        <v>F26 &amp; K26</v>
      </c>
      <c r="C53" s="40" t="str">
        <f>IF(B53="","",TEXT(RTD("cqg.rtd", ,"ContractData",A53, "Open",,"T"),$D$1))</f>
        <v/>
      </c>
      <c r="D53" s="40" t="str">
        <f>IF(B53="","",TEXT(RTD("cqg.rtd",,"ContractData",A53,"High",,"T"),$D$1))</f>
        <v/>
      </c>
      <c r="E53" s="40" t="str">
        <f>IF(B53="","",TEXT(RTD("cqg.rtd", ,"ContractData",A53, "Low",,"T"),$D$1))</f>
        <v/>
      </c>
      <c r="F53" s="40" t="str">
        <f>IF(B53="","",TEXT(RTD("cqg.rtd",,"ContractData",A53,"LastTradeorSettle",,"T"),$D$1))</f>
        <v/>
      </c>
      <c r="G53" s="74" t="e">
        <f>IF(B53="","",TEXT(RTD("cqg.rtd",,"ContractData",A53,"NetLastTradeToday",,"T"),$D$1)*1)</f>
        <v>#VALUE!</v>
      </c>
      <c r="H53" s="75" t="str">
        <f>IFERROR(IF(B53="","",TEXT(RTD("cqg.rtd",,"ContractData",A53,"NetLastTradeToday",,"T"),$D$1)*1),"")</f>
        <v/>
      </c>
      <c r="I53" s="41">
        <f>IF(B53="","",RTD("cqg.rtd", ,"ContractData",A53, "T_CVol"))</f>
        <v>0</v>
      </c>
      <c r="J53" s="42"/>
      <c r="K53" s="81"/>
      <c r="L53" s="81"/>
      <c r="M53" s="81"/>
      <c r="N53" s="81"/>
      <c r="O53" s="81"/>
      <c r="P53" s="81"/>
      <c r="Q53" s="81"/>
      <c r="R53" s="82"/>
      <c r="V53" s="91"/>
    </row>
    <row r="54" spans="1:22" ht="15" customHeight="1" x14ac:dyDescent="0.3">
      <c r="A54" s="1" t="str">
        <f>IF(LEFT(RTD("cqg.rtd",,"ContractData",'CLE2'!J25, "Symbol"),3)="768",NA(),RTD("cqg.rtd",,"ContractData",'CLE2'!J25, "Symbol"))</f>
        <v>ZSES2H26</v>
      </c>
      <c r="B54" s="111" t="str">
        <f>IFERROR(LEFT(RIGHT(RTD("cqg.rtd", ,"ContractData",A54, "LongDescription",, "T"),13),3)&amp;" &amp; "&amp;LEFT(RIGHT(RTD("cqg.rtd", ,"ContractData",A54, "LongDescription",, "T"),4),3),"")</f>
        <v>H26 &amp; N26</v>
      </c>
      <c r="C54" s="40" t="str">
        <f>IF(B54="","",TEXT(RTD("cqg.rtd", ,"ContractData",A54, "Open",,"T"),$D$1))</f>
        <v>-12.50</v>
      </c>
      <c r="D54" s="40" t="str">
        <f>IF(B54="","",TEXT(RTD("cqg.rtd",,"ContractData",A54,"High",,"T"),$D$1))</f>
        <v>-12.25</v>
      </c>
      <c r="E54" s="40" t="str">
        <f>IF(B54="","",TEXT(RTD("cqg.rtd", ,"ContractData",A54, "Low",,"T"),$D$1))</f>
        <v>-13.75</v>
      </c>
      <c r="F54" s="40" t="str">
        <f>IF(B54="","",TEXT(RTD("cqg.rtd",,"ContractData",A54,"LastTradeorSettle",,"T"),$D$1))</f>
        <v>-12.75</v>
      </c>
      <c r="G54" s="74">
        <f>IF(B54="","",TEXT(RTD("cqg.rtd",,"ContractData",A54,"NetLastTradeToday",,"T"),$D$1)*1)</f>
        <v>1.25</v>
      </c>
      <c r="H54" s="75">
        <f>IFERROR(IF(B54="","",TEXT(RTD("cqg.rtd",,"ContractData",A54,"NetLastTradeToday",,"T"),$D$1)*1),"")</f>
        <v>1.25</v>
      </c>
      <c r="I54" s="41">
        <f>IF(B54="","",RTD("cqg.rtd", ,"ContractData",A54, "T_CVol"))</f>
        <v>78</v>
      </c>
      <c r="J54" s="42"/>
      <c r="K54" s="81"/>
      <c r="L54" s="81"/>
      <c r="M54" s="81"/>
      <c r="N54" s="81"/>
      <c r="O54" s="81"/>
      <c r="P54" s="81"/>
      <c r="Q54" s="81"/>
      <c r="R54" s="82"/>
      <c r="V54" s="91"/>
    </row>
    <row r="55" spans="1:22" ht="15" customHeight="1" x14ac:dyDescent="0.3">
      <c r="A55" s="1" t="str">
        <f>IF(LEFT(RTD("cqg.rtd",,"ContractData",'CLE2'!J26, "Symbol"),3)="768",NA(),RTD("cqg.rtd",,"ContractData",'CLE2'!J26, "Symbol"))</f>
        <v>ZSES2K26</v>
      </c>
      <c r="B55" s="111" t="str">
        <f>IFERROR(LEFT(RIGHT(RTD("cqg.rtd", ,"ContractData",A55, "LongDescription",, "T"),13),3)&amp;" &amp; "&amp;LEFT(RIGHT(RTD("cqg.rtd", ,"ContractData",A55, "LongDescription",, "T"),4),3),"")</f>
        <v>K26 &amp; Q26</v>
      </c>
      <c r="C55" s="40" t="str">
        <f>IF(B55="","",TEXT(RTD("cqg.rtd", ,"ContractData",A55, "Open",,"T"),$D$1))</f>
        <v/>
      </c>
      <c r="D55" s="40" t="str">
        <f>IF(B55="","",TEXT(RTD("cqg.rtd",,"ContractData",A55,"High",,"T"),$D$1))</f>
        <v/>
      </c>
      <c r="E55" s="40" t="str">
        <f>IF(B55="","",TEXT(RTD("cqg.rtd", ,"ContractData",A55, "Low",,"T"),$D$1))</f>
        <v/>
      </c>
      <c r="F55" s="40" t="str">
        <f>IF(B55="","",TEXT(RTD("cqg.rtd",,"ContractData",A55,"LastTradeorSettle",,"T"),$D$1))</f>
        <v/>
      </c>
      <c r="G55" s="74" t="e">
        <f>IF(B55="","",TEXT(RTD("cqg.rtd",,"ContractData",A55,"NetLastTradeToday",,"T"),$D$1)*1)</f>
        <v>#VALUE!</v>
      </c>
      <c r="H55" s="75" t="str">
        <f>IFERROR(IF(B55="","",TEXT(RTD("cqg.rtd",,"ContractData",A55,"NetLastTradeToday",,"T"),$D$1)*1),"")</f>
        <v/>
      </c>
      <c r="I55" s="41">
        <f>IF(B55="","",RTD("cqg.rtd", ,"ContractData",A55, "T_CVol"))</f>
        <v>0</v>
      </c>
      <c r="J55" s="42"/>
      <c r="K55" s="81"/>
      <c r="L55" s="81"/>
      <c r="M55" s="81"/>
      <c r="N55" s="81"/>
      <c r="O55" s="81"/>
      <c r="P55" s="81"/>
      <c r="Q55" s="81"/>
      <c r="R55" s="82"/>
      <c r="V55" s="91"/>
    </row>
    <row r="56" spans="1:22" ht="15" customHeight="1" x14ac:dyDescent="0.3">
      <c r="A56" s="1" t="str">
        <f>IF(LEFT(RTD("cqg.rtd",,"ContractData",'CLE2'!J27, "Symbol"),3)="768",NA(),RTD("cqg.rtd",,"ContractData",'CLE2'!J27, "Symbol"))</f>
        <v>ZSES2N26</v>
      </c>
      <c r="B56" s="111" t="str">
        <f>IFERROR(LEFT(RIGHT(RTD("cqg.rtd", ,"ContractData",A56, "LongDescription",, "T"),13),3)&amp;" &amp; "&amp;LEFT(RIGHT(RTD("cqg.rtd", ,"ContractData",A56, "LongDescription",, "T"),4),3),"")</f>
        <v>N26 &amp; U26</v>
      </c>
      <c r="C56" s="40" t="str">
        <f>IF(B56="","",TEXT(RTD("cqg.rtd", ,"ContractData",A56, "Open",,"T"),$D$1))</f>
        <v/>
      </c>
      <c r="D56" s="40" t="str">
        <f>IF(B56="","",TEXT(RTD("cqg.rtd",,"ContractData",A56,"High",,"T"),$D$1))</f>
        <v/>
      </c>
      <c r="E56" s="40" t="str">
        <f>IF(B56="","",TEXT(RTD("cqg.rtd", ,"ContractData",A56, "Low",,"T"),$D$1))</f>
        <v/>
      </c>
      <c r="F56" s="40" t="str">
        <f>IF(B56="","",TEXT(RTD("cqg.rtd",,"ContractData",A56,"LastTradeorSettle",,"T"),$D$1))</f>
        <v/>
      </c>
      <c r="G56" s="74" t="e">
        <f>IF(B56="","",TEXT(RTD("cqg.rtd",,"ContractData",A56,"NetLastTradeToday",,"T"),$D$1)*1)</f>
        <v>#VALUE!</v>
      </c>
      <c r="H56" s="75" t="str">
        <f>IFERROR(IF(B56="","",TEXT(RTD("cqg.rtd",,"ContractData",A56,"NetLastTradeToday",,"T"),$D$1)*1),"")</f>
        <v/>
      </c>
      <c r="I56" s="41">
        <f>IF(B56="","",RTD("cqg.rtd", ,"ContractData",A56, "T_CVol"))</f>
        <v>0</v>
      </c>
      <c r="J56" s="42"/>
      <c r="K56" s="81"/>
      <c r="L56" s="81"/>
      <c r="M56" s="81"/>
      <c r="N56" s="81"/>
      <c r="O56" s="81"/>
      <c r="P56" s="81"/>
      <c r="Q56" s="81"/>
      <c r="R56" s="82"/>
      <c r="V56" s="91"/>
    </row>
    <row r="57" spans="1:22" ht="12" customHeight="1" x14ac:dyDescent="0.3">
      <c r="B57" s="138"/>
      <c r="C57" s="139"/>
      <c r="D57" s="57"/>
      <c r="E57" s="58"/>
      <c r="F57" s="59"/>
      <c r="G57" s="58"/>
      <c r="H57" s="60"/>
      <c r="I57" s="58"/>
      <c r="J57" s="61"/>
      <c r="K57" s="81"/>
      <c r="L57" s="81"/>
      <c r="M57" s="81"/>
      <c r="N57" s="81"/>
      <c r="O57" s="81"/>
      <c r="P57" s="81"/>
      <c r="Q57" s="81"/>
      <c r="R57" s="82"/>
      <c r="V57" s="91"/>
    </row>
    <row r="58" spans="1:22" ht="15" customHeight="1" x14ac:dyDescent="0.2">
      <c r="B58" s="116" t="s">
        <v>27</v>
      </c>
      <c r="C58" s="117"/>
      <c r="D58" s="117"/>
      <c r="E58" s="117"/>
      <c r="F58" s="117"/>
      <c r="G58" s="117"/>
      <c r="H58" s="117"/>
      <c r="I58" s="117"/>
      <c r="J58" s="66"/>
      <c r="K58" s="67" t="str">
        <f>B61</f>
        <v>X24 &amp; K25</v>
      </c>
      <c r="L58" s="89" t="str">
        <f>B62</f>
        <v>F25 &amp; N25</v>
      </c>
      <c r="M58" s="89" t="str">
        <f>B63</f>
        <v>H25 &amp; Q25</v>
      </c>
      <c r="N58" s="89" t="str">
        <f>B64</f>
        <v>K25 &amp; U25</v>
      </c>
      <c r="O58" s="89" t="str">
        <f>B65</f>
        <v>N25 &amp; X25</v>
      </c>
      <c r="P58" s="89" t="str">
        <f>B66</f>
        <v>Q25 &amp; F26</v>
      </c>
      <c r="Q58" s="20" t="str">
        <f>B67</f>
        <v>U25 &amp; H26</v>
      </c>
      <c r="R58" s="20" t="str">
        <f>B68</f>
        <v>X25 &amp; K26</v>
      </c>
      <c r="S58" s="20" t="str">
        <f>B69</f>
        <v>F26 &amp; N26</v>
      </c>
      <c r="T58" s="20" t="str">
        <f>B70</f>
        <v>H26 &amp; Q26</v>
      </c>
      <c r="U58" s="20" t="str">
        <f>B71</f>
        <v>K26 &amp; U26</v>
      </c>
      <c r="V58" s="20" t="str">
        <f>B72</f>
        <v>N26 &amp; X26</v>
      </c>
    </row>
    <row r="59" spans="1:22" ht="15" customHeight="1" x14ac:dyDescent="0.3">
      <c r="B59" s="118"/>
      <c r="C59" s="119"/>
      <c r="D59" s="119"/>
      <c r="E59" s="119"/>
      <c r="F59" s="119"/>
      <c r="G59" s="119"/>
      <c r="H59" s="119"/>
      <c r="I59" s="119"/>
      <c r="J59" s="66"/>
      <c r="K59" s="68" t="str">
        <f>IF(K58="","",IF(RTD("cqg.rtd",,"ContractData",A61,"Ask",,"T")="","",TEXT(RTD("cqg.rtd",,"ContractData",A61,"Ask",,"T"),$D$1)&amp;" "&amp;"A"))</f>
        <v>-34.75 A</v>
      </c>
      <c r="L59" s="22" t="str">
        <f>IF(L58="","",IF(RTD("cqg.rtd",,"ContractData",A62,"Ask",,"T")="","",TEXT(RTD("cqg.rtd",,"ContractData",A62,"Ask",,"T"),$D$1)&amp;" "&amp;"A"))</f>
        <v>-35.25 A</v>
      </c>
      <c r="M59" s="69" t="str">
        <f>IF(M58="","",IF(RTD("cqg.rtd",,"ContractData",A63,"Ask",,"T")="","",TEXT(RTD("cqg.rtd",,"ContractData",A63,"Ask",,"T"),$D$1)&amp;" "&amp;"A"))</f>
        <v>-21.25 A</v>
      </c>
      <c r="N59" s="69" t="str">
        <f>IF(N58="","",IF(RTD("cqg.rtd",,"ContractData",A64,"Ask",,"T")="","",TEXT(RTD("cqg.rtd",,"ContractData",A64,"Ask",,"T"),$D$1)&amp;" "&amp;"A"))</f>
        <v>6.25 A</v>
      </c>
      <c r="O59" s="69" t="str">
        <f>IF(O58="","",IF(RTD("cqg.rtd",,"ContractData",A65,"Ask",,"T")="","",TEXT(RTD("cqg.rtd",,"ContractData",A65,"Ask",,"T"),$D$1)&amp;" "&amp;"A"))</f>
        <v>19.75 A</v>
      </c>
      <c r="P59" s="69" t="str">
        <f>IF(P58="","",IF(RTD("cqg.rtd",,"ContractData",A66,"Ask",,"T")="","",TEXT(RTD("cqg.rtd",,"ContractData",A66,"Ask",,"T"),$D$1)&amp;" "&amp;"A"))</f>
        <v>9.00 A</v>
      </c>
      <c r="Q59" s="69" t="str">
        <f>IF(Q58="","",IF(RTD("cqg.rtd",,"ContractData",A67,"Ask",,"T")="","",TEXT(RTD("cqg.rtd",,"ContractData",A67,"Ask",,"T"),$D$1)&amp;" "&amp;"A"))</f>
        <v>-5.75 A</v>
      </c>
      <c r="R59" s="69" t="str">
        <f>IF(R58="","",IF(RTD("cqg.rtd",,"ContractData",A68,"Ask",,"T")="","",TEXT(RTD("cqg.rtd",,"ContractData",A68,"Ask",,"T"),$D$1)&amp;" "&amp;"A"))</f>
        <v>-12.75 A</v>
      </c>
      <c r="S59" s="70" t="str">
        <f>IF(S58="","",IF(RTD("cqg.rtd",,"ContractData",A69,"Ask",,"T")="","",TEXT(RTD("cqg.rtd",,"ContractData",A69,"Ask",,"T"),$D$1)&amp;" "&amp;"A"))</f>
        <v>-11.00 A</v>
      </c>
      <c r="T59" s="69" t="str">
        <f>IF(T58="","",IF(RTD("cqg.rtd",,"ContractData",A70,"Ask",,"T")="","",TEXT(RTD("cqg.rtd",,"ContractData",A70,"Ask",,"T"),$D$1)&amp;" "&amp;"A"))</f>
        <v/>
      </c>
      <c r="U59" s="69" t="str">
        <f>IF(U58="","",IF(RTD("cqg.rtd",,"ContractData",A71,"Ask",,"T")="","",TEXT(RTD("cqg.rtd",,"ContractData",A71,"Ask",,"T"),$D$1)&amp;" "&amp;"A"))</f>
        <v>37.00 A</v>
      </c>
      <c r="V59" s="69" t="str">
        <f>IF(V58="","",IF(RTD("cqg.rtd",,"ContractData",A72,"Ask",,"T")="","",TEXT(RTD("cqg.rtd",,"ContractData",A72,"Ask",,"T"),$D$1)&amp;" "&amp;"A"))</f>
        <v>15.00 A</v>
      </c>
    </row>
    <row r="60" spans="1:22" ht="15" customHeight="1" x14ac:dyDescent="0.3">
      <c r="B60" s="32" t="s">
        <v>16</v>
      </c>
      <c r="C60" s="33" t="s">
        <v>9</v>
      </c>
      <c r="D60" s="33" t="s">
        <v>10</v>
      </c>
      <c r="E60" s="33" t="s">
        <v>11</v>
      </c>
      <c r="F60" s="33" t="s">
        <v>8</v>
      </c>
      <c r="G60" s="33" t="s">
        <v>12</v>
      </c>
      <c r="H60" s="33" t="s">
        <v>12</v>
      </c>
      <c r="I60" s="71" t="s">
        <v>13</v>
      </c>
      <c r="J60" s="72"/>
      <c r="K60" s="73" t="str">
        <f>IF(K58="","",IF(RTD("cqg.rtd",,"ContractData",A61,"Bid",,"T")="","",TEXT(RTD("cqg.rtd",,"ContractData",A61,"Bid",,"T"),$D$1)&amp;" "&amp;"B"))</f>
        <v>-41.50 B</v>
      </c>
      <c r="L60" s="22" t="str">
        <f>IF(L58="","",IF(RTD("cqg.rtd",,"ContractData",A62,"Bid",,"T")="","",TEXT(RTD("cqg.rtd",,"ContractData",A62,"Bid",,"T"),$D$1)&amp;" "&amp;"B"))</f>
        <v>-35.50 B</v>
      </c>
      <c r="M60" s="69" t="str">
        <f>IF(M58="","",IF(RTD("cqg.rtd",,"ContractData",A63,"Bid",,"T")="","",TEXT(RTD("cqg.rtd",,"ContractData",A63,"Bid",,"T"),$D$1)&amp;" "&amp;"B"))</f>
        <v>-21.75 B</v>
      </c>
      <c r="N60" s="69" t="str">
        <f>IF(N58="","",IF(RTD("cqg.rtd",,"ContractData",A64,"Bid",,"T")="","",TEXT(RTD("cqg.rtd",,"ContractData",A64,"Bid",,"T"),$D$1)&amp;" "&amp;"B"))</f>
        <v>6.00 B</v>
      </c>
      <c r="O60" s="69" t="str">
        <f>IF(O58="","",IF(RTD("cqg.rtd",,"ContractData",A65,"Bid",,"T")="","",TEXT(RTD("cqg.rtd",,"ContractData",A65,"Bid",,"T"),$D$1)&amp;" "&amp;"B"))</f>
        <v>19.50 B</v>
      </c>
      <c r="P60" s="69" t="str">
        <f>IF(P58="","",IF(RTD("cqg.rtd",,"ContractData",A66,"Bid",,"T")="","",TEXT(RTD("cqg.rtd",,"ContractData",A66,"Bid",,"T"),$D$1)&amp;" "&amp;"B"))</f>
        <v>7.50 B</v>
      </c>
      <c r="Q60" s="69" t="str">
        <f>IF(Q58="","",IF(RTD("cqg.rtd",,"ContractData",A67,"Bid",,"T")="","",TEXT(RTD("cqg.rtd",,"ContractData",A67,"Bid",,"T"),$D$1)&amp;" "&amp;"B"))</f>
        <v>-7.25 B</v>
      </c>
      <c r="R60" s="69" t="str">
        <f>IF(R58="","",IF(RTD("cqg.rtd",,"ContractData",A68,"Bid",,"T")="","",TEXT(RTD("cqg.rtd",,"ContractData",A68,"Bid",,"T"),$D$1)&amp;" "&amp;"B"))</f>
        <v>-15.25 B</v>
      </c>
      <c r="S60" s="69" t="str">
        <f>IF(S58="","",IF(RTD("cqg.rtd",,"ContractData",A69,"Bid",,"T")="","",TEXT(RTD("cqg.rtd",,"ContractData",A69,"Bid",,"T"),$D$1)&amp;" "&amp;"B"))</f>
        <v>-13.75 B</v>
      </c>
      <c r="T60" s="69" t="str">
        <f>IF(T58="","",IF(RTD("cqg.rtd",,"ContractData",A70,"Bid",,"T")="","",TEXT(RTD("cqg.rtd",,"ContractData",A70,"Bid",,"T"),$D$1)&amp;" "&amp;"B"))</f>
        <v/>
      </c>
      <c r="U60" s="69" t="str">
        <f>IF(U58="","",IF(RTD("cqg.rtd",,"ContractData",A71,"Bid",,"T")="","",TEXT(RTD("cqg.rtd",,"ContractData",A71,"Bid",,"T"),$D$1)&amp;" "&amp;"B"))</f>
        <v/>
      </c>
      <c r="V60" s="69" t="str">
        <f>IF(V58="","",IF(RTD("cqg.rtd",,"ContractData",A72,"Bid",,"T")="","",TEXT(RTD("cqg.rtd",,"ContractData",A72,"Bid",,"T"),$D$1)&amp;" "&amp;"B"))</f>
        <v>14.50 B</v>
      </c>
    </row>
    <row r="61" spans="1:22" ht="15" customHeight="1" x14ac:dyDescent="0.3">
      <c r="A61" s="1" t="str">
        <f>IF(LEFT(RTD("cqg.rtd",,"ContractData",'CLE3'!J16, "Symbol"),3)="768",NA(),RTD("cqg.rtd",,"ContractData",'CLE3'!J16, "Symbol"))</f>
        <v>ZSES3X24</v>
      </c>
      <c r="B61" s="111" t="str">
        <f>IFERROR(LEFT(RIGHT(RTD("cqg.rtd", ,"ContractData",A61, "LongDescription",, "T"),13),3)&amp;" &amp; "&amp;LEFT(RIGHT(RTD("cqg.rtd", ,"ContractData",A61, "LongDescription",, "T"),4),3),"")</f>
        <v>X24 &amp; K25</v>
      </c>
      <c r="C61" s="40" t="str">
        <f>IF(B61="","",TEXT(RTD("cqg.rtd", ,"ContractData",A61, "Open",,"T"),$D$1))</f>
        <v/>
      </c>
      <c r="D61" s="40" t="str">
        <f>IF(B61="","",TEXT(RTD("cqg.rtd",,"ContractData",A61,"High",,"T"),$D$1))</f>
        <v/>
      </c>
      <c r="E61" s="40" t="str">
        <f>IF(B61="","",TEXT(RTD("cqg.rtd", ,"ContractData",A61, "Low",,"T"),$D$1))</f>
        <v/>
      </c>
      <c r="F61" s="40" t="str">
        <f>IF(B61="","",TEXT(RTD("cqg.rtd",,"ContractData",A61,"LastTradeorSettle",,"T"),$D$1))</f>
        <v/>
      </c>
      <c r="G61" s="74" t="e">
        <f>IF(B61="","",TEXT(RTD("cqg.rtd",,"ContractData",A61,"NetLastTradeToday",,"T"),$D$1)*1)</f>
        <v>#VALUE!</v>
      </c>
      <c r="H61" s="75" t="str">
        <f>IFERROR(IF(B61="","",TEXT(RTD("cqg.rtd",,"ContractData",A61,"NetLastTradeToday",,"T"),$D$1)*1),"")</f>
        <v/>
      </c>
      <c r="I61" s="41">
        <f>IF(B61="","",RTD("cqg.rtd", ,"ContractData",A61, "T_CVol"))</f>
        <v>0</v>
      </c>
      <c r="J61" s="42"/>
      <c r="K61" s="76" t="str">
        <f>IF(K58="","",IF(RTD("cqg.rtd",,"StudyData",A61,  "Bar",, "Close", "D",,,,,,"T")="","",TEXT(RTD("cqg.rtd",,"StudyData",A61,  "Bar",, "Close", "D",,,,,,"T"),$D$1)&amp;" "&amp;"L"))</f>
        <v/>
      </c>
      <c r="L61" s="76" t="str">
        <f>IF(L58="","",IF(RTD("cqg.rtd",,"StudyData",A62,  "Bar",, "Close", "D",,,,,,"T")="","",TEXT(RTD("cqg.rtd",,"StudyData",A62,  "Bar",, "Close", "D",,,,,,"T"),$D$1)&amp;" "&amp;"L"))</f>
        <v>-35.25 L</v>
      </c>
      <c r="M61" s="69" t="str">
        <f>IF(M58="","",IF(RTD("cqg.rtd",,"StudyData",A63,  "Bar",, "Close", "D",,,,,,"T")="","",TEXT(RTD("cqg.rtd",,"StudyData",A63,  "Bar",, "Close", "D",,,,,,"T"),$D$1)&amp;" "&amp;"L"))</f>
        <v>-21.25 L</v>
      </c>
      <c r="N61" s="69" t="str">
        <f>IF(N58="","",IF(RTD("cqg.rtd",,"StudyData",A64,  "Bar",, "Close", "D",,,,,,"T")="","",TEXT(RTD("cqg.rtd",,"StudyData",A64,  "Bar",, "Close", "D",,,,,,"T"),$D$1)&amp;" "&amp;"L"))</f>
        <v>6.25 L</v>
      </c>
      <c r="O61" s="69" t="str">
        <f>IF(O58="","",IF(RTD("cqg.rtd",,"StudyData",A65,  "Bar",, "Close", "D",,,,,,"T")="","",TEXT(RTD("cqg.rtd",,"StudyData",A65,  "Bar",, "Close", "D",,,,,,"T"),$D$1)&amp;" "&amp;"L"))</f>
        <v>19.75 L</v>
      </c>
      <c r="P61" s="69" t="str">
        <f>IF(P58="","",IF(RTD("cqg.rtd",,"StudyData",A66,  "Bar",, "Close", "D",,,,,,"T")="","",TEXT(RTD("cqg.rtd",,"StudyData",A66,  "Bar",, "Close", "D",,,,,,"T"),$D$1)&amp;" "&amp;"L"))</f>
        <v/>
      </c>
      <c r="Q61" s="69" t="str">
        <f>IF(Q58="","",IF(RTD("cqg.rtd",,"StudyData",A67,  "Bar",, "Close", "D",,,,,,"T")="","",TEXT(RTD("cqg.rtd",,"StudyData",A67,  "Bar",, "Close", "D",,,,,,"T"),$D$1)&amp;" "&amp;"L"))</f>
        <v/>
      </c>
      <c r="R61" s="69" t="str">
        <f>IF(R58="","",IF(RTD("cqg.rtd",,"StudyData",A68,  "Bar",, "Close", "D",,,,,,"T")="","",TEXT(RTD("cqg.rtd",,"StudyData",A68,  "Bar",, "Close", "D",,,,,,"T"),$D$1)&amp;" "&amp;"L"))</f>
        <v/>
      </c>
      <c r="S61" s="69" t="str">
        <f>IF(S58="","",IF(RTD("cqg.rtd",,"StudyData",A69,  "Bar",, "Close", "D",,,,,,"T")="","",TEXT(RTD("cqg.rtd",,"StudyData",A69,  "Bar",, "Close", "D",,,,,,"T"),$D$1)&amp;" "&amp;"L"))</f>
        <v/>
      </c>
      <c r="T61" s="69" t="str">
        <f>IF(T58="","",IF(RTD("cqg.rtd",,"StudyData",A70,  "Bar",, "Close", "D",,,,,,"T")="","",TEXT(RTD("cqg.rtd",,"StudyData",A70,  "Bar",, "Close", "D",,,,,,"T"),$D$1)&amp;" "&amp;"L"))</f>
        <v/>
      </c>
      <c r="U61" s="69" t="str">
        <f>IF(U58="","",IF(RTD("cqg.rtd",,"StudyData",A71,  "Bar",, "Close", "D",,,,,,"T")="","",TEXT(RTD("cqg.rtd",,"StudyData",A71,  "Bar",, "Close", "D",,,,,,"T"),$D$1)&amp;" "&amp;"L"))</f>
        <v/>
      </c>
      <c r="V61" s="69" t="str">
        <f>IF(V58="","",IF(RTD("cqg.rtd",,"StudyData",A72,  "Bar",, "Close", "D",,,,,,"T")="","",TEXT(RTD("cqg.rtd",,"StudyData",A72,  "Bar",, "Close", "D",,,,,,"T"),$D$1)&amp;" "&amp;"L"))</f>
        <v>15.00 L</v>
      </c>
    </row>
    <row r="62" spans="1:22" ht="15" customHeight="1" x14ac:dyDescent="0.3">
      <c r="A62" s="1" t="str">
        <f>IF(LEFT(RTD("cqg.rtd",,"ContractData",'CLE3'!J17, "Symbol"),3)="768",NA(),RTD("cqg.rtd",,"ContractData",'CLE3'!J17, "Symbol"))</f>
        <v>ZSES3F25</v>
      </c>
      <c r="B62" s="111" t="str">
        <f>IFERROR(LEFT(RIGHT(RTD("cqg.rtd", ,"ContractData",A62, "LongDescription",, "T"),13),3)&amp;" &amp; "&amp;LEFT(RIGHT(RTD("cqg.rtd", ,"ContractData",A62, "LongDescription",, "T"),4),3),"")</f>
        <v>F25 &amp; N25</v>
      </c>
      <c r="C62" s="40" t="str">
        <f>IF(B62="","",TEXT(RTD("cqg.rtd", ,"ContractData",A62, "Open",,"T"),$D$1))</f>
        <v>-37.75</v>
      </c>
      <c r="D62" s="40" t="str">
        <f>IF(B62="","",TEXT(RTD("cqg.rtd",,"ContractData",A62,"High",,"T"),$D$1))</f>
        <v>-35.00</v>
      </c>
      <c r="E62" s="40" t="str">
        <f>IF(B62="","",TEXT(RTD("cqg.rtd", ,"ContractData",A62, "Low",,"T"),$D$1))</f>
        <v>-37.75</v>
      </c>
      <c r="F62" s="40" t="str">
        <f>IF(B62="","",TEXT(RTD("cqg.rtd",,"ContractData",A62,"LastTradeorSettle",,"T"),$D$1))</f>
        <v>-35.25</v>
      </c>
      <c r="G62" s="74">
        <f>IF(B62="","",TEXT(RTD("cqg.rtd",,"ContractData",A62,"NetLastTradeToday",,"T"),$D$1)*1)</f>
        <v>2.75</v>
      </c>
      <c r="H62" s="75">
        <f>IFERROR(IF(B62="","",TEXT(RTD("cqg.rtd",,"ContractData",A62,"NetLastTradeToday",,"T"),$D$1)*1),"")</f>
        <v>2.75</v>
      </c>
      <c r="I62" s="41">
        <f>IF(B62="","",RTD("cqg.rtd", ,"ContractData",A62, "T_CVol"))</f>
        <v>2014</v>
      </c>
      <c r="J62" s="42"/>
      <c r="K62" s="81"/>
      <c r="L62" s="81"/>
      <c r="M62" s="81"/>
      <c r="N62" s="81"/>
      <c r="O62" s="81"/>
      <c r="P62" s="81"/>
      <c r="Q62" s="81"/>
      <c r="R62" s="82"/>
      <c r="V62" s="91"/>
    </row>
    <row r="63" spans="1:22" ht="15" customHeight="1" x14ac:dyDescent="0.3">
      <c r="A63" s="1" t="str">
        <f>IF(LEFT(RTD("cqg.rtd",,"ContractData",'CLE3'!J18, "Symbol"),3)="768",NA(),RTD("cqg.rtd",,"ContractData",'CLE3'!J18, "Symbol"))</f>
        <v>ZSES3H25</v>
      </c>
      <c r="B63" s="111" t="str">
        <f>IFERROR(LEFT(RIGHT(RTD("cqg.rtd", ,"ContractData",A63, "LongDescription",, "T"),13),3)&amp;" &amp; "&amp;LEFT(RIGHT(RTD("cqg.rtd", ,"ContractData",A63, "LongDescription",, "T"),4),3),"")</f>
        <v>H25 &amp; Q25</v>
      </c>
      <c r="C63" s="40" t="str">
        <f>IF(B63="","",TEXT(RTD("cqg.rtd", ,"ContractData",A63, "Open",,"T"),$D$1))</f>
        <v>-22.75</v>
      </c>
      <c r="D63" s="40" t="str">
        <f>IF(B63="","",TEXT(RTD("cqg.rtd",,"ContractData",A63,"High",,"T"),$D$1))</f>
        <v>-20.25</v>
      </c>
      <c r="E63" s="40" t="str">
        <f>IF(B63="","",TEXT(RTD("cqg.rtd", ,"ContractData",A63, "Low",,"T"),$D$1))</f>
        <v>-22.75</v>
      </c>
      <c r="F63" s="40" t="str">
        <f>IF(B63="","",TEXT(RTD("cqg.rtd",,"ContractData",A63,"LastTradeorSettle",,"T"),$D$1))</f>
        <v>-21.25</v>
      </c>
      <c r="G63" s="74">
        <f>IF(B63="","",TEXT(RTD("cqg.rtd",,"ContractData",A63,"NetLastTradeToday",,"T"),$D$1)*1)</f>
        <v>2.5</v>
      </c>
      <c r="H63" s="75">
        <f>IFERROR(IF(B63="","",TEXT(RTD("cqg.rtd",,"ContractData",A63,"NetLastTradeToday",,"T"),$D$1)*1),"")</f>
        <v>2.5</v>
      </c>
      <c r="I63" s="41">
        <f>IF(B63="","",RTD("cqg.rtd", ,"ContractData",A63, "T_CVol"))</f>
        <v>144</v>
      </c>
      <c r="J63" s="42"/>
      <c r="K63" s="81"/>
      <c r="L63" s="81"/>
      <c r="M63" s="81"/>
      <c r="N63" s="81"/>
      <c r="O63" s="81"/>
      <c r="P63" s="81"/>
      <c r="Q63" s="81"/>
      <c r="R63" s="82"/>
      <c r="V63" s="91"/>
    </row>
    <row r="64" spans="1:22" ht="15" customHeight="1" x14ac:dyDescent="0.3">
      <c r="A64" s="1" t="str">
        <f>IF(LEFT(RTD("cqg.rtd",,"ContractData",'CLE3'!J19, "Symbol"),3)="768",NA(),RTD("cqg.rtd",,"ContractData",'CLE3'!J19, "Symbol"))</f>
        <v>ZSES3K25</v>
      </c>
      <c r="B64" s="111" t="str">
        <f>IFERROR(LEFT(RIGHT(RTD("cqg.rtd", ,"ContractData",A64, "LongDescription",, "T"),13),3)&amp;" &amp; "&amp;LEFT(RIGHT(RTD("cqg.rtd", ,"ContractData",A64, "LongDescription",, "T"),4),3),"")</f>
        <v>K25 &amp; U25</v>
      </c>
      <c r="C64" s="40" t="str">
        <f>IF(B64="","",TEXT(RTD("cqg.rtd", ,"ContractData",A64, "Open",,"T"),$D$1))</f>
        <v>5.50</v>
      </c>
      <c r="D64" s="40" t="str">
        <f>IF(B64="","",TEXT(RTD("cqg.rtd",,"ContractData",A64,"High",,"T"),$D$1))</f>
        <v>7.75</v>
      </c>
      <c r="E64" s="40" t="str">
        <f>IF(B64="","",TEXT(RTD("cqg.rtd", ,"ContractData",A64, "Low",,"T"),$D$1))</f>
        <v>5.50</v>
      </c>
      <c r="F64" s="40" t="str">
        <f>IF(B64="","",TEXT(RTD("cqg.rtd",,"ContractData",A64,"LastTradeorSettle",,"T"),$D$1))</f>
        <v>6.25</v>
      </c>
      <c r="G64" s="74">
        <f>IF(B64="","",TEXT(RTD("cqg.rtd",,"ContractData",A64,"NetLastTradeToday",,"T"),$D$1)*1)</f>
        <v>3.5</v>
      </c>
      <c r="H64" s="75">
        <f>IFERROR(IF(B64="","",TEXT(RTD("cqg.rtd",,"ContractData",A64,"NetLastTradeToday",,"T"),$D$1)*1),"")</f>
        <v>3.5</v>
      </c>
      <c r="I64" s="41">
        <f>IF(B64="","",RTD("cqg.rtd", ,"ContractData",A64, "T_CVol"))</f>
        <v>45</v>
      </c>
      <c r="J64" s="42"/>
      <c r="K64" s="81"/>
      <c r="L64" s="81"/>
      <c r="M64" s="81"/>
      <c r="N64" s="81"/>
      <c r="O64" s="81"/>
      <c r="P64" s="81"/>
      <c r="Q64" s="81"/>
      <c r="R64" s="82"/>
      <c r="V64" s="91"/>
    </row>
    <row r="65" spans="1:22" ht="15" customHeight="1" x14ac:dyDescent="0.3">
      <c r="A65" s="1" t="str">
        <f>IF(LEFT(RTD("cqg.rtd",,"ContractData",'CLE3'!J20, "Symbol"),3)="768",NA(),RTD("cqg.rtd",,"ContractData",'CLE3'!J20, "Symbol"))</f>
        <v>ZSES3N25</v>
      </c>
      <c r="B65" s="111" t="str">
        <f>IFERROR(LEFT(RIGHT(RTD("cqg.rtd", ,"ContractData",A65, "LongDescription",, "T"),13),3)&amp;" &amp; "&amp;LEFT(RIGHT(RTD("cqg.rtd", ,"ContractData",A65, "LongDescription",, "T"),4),3),"")</f>
        <v>N25 &amp; X25</v>
      </c>
      <c r="C65" s="40" t="str">
        <f>IF(B65="","",TEXT(RTD("cqg.rtd", ,"ContractData",A65, "Open",,"T"),$D$1))</f>
        <v>16.25</v>
      </c>
      <c r="D65" s="40" t="str">
        <f>IF(B65="","",TEXT(RTD("cqg.rtd",,"ContractData",A65,"High",,"T"),$D$1))</f>
        <v>22.50</v>
      </c>
      <c r="E65" s="40" t="str">
        <f>IF(B65="","",TEXT(RTD("cqg.rtd", ,"ContractData",A65, "Low",,"T"),$D$1))</f>
        <v>16.00</v>
      </c>
      <c r="F65" s="40" t="str">
        <f>IF(B65="","",TEXT(RTD("cqg.rtd",,"ContractData",A65,"LastTradeorSettle",,"T"),$D$1))</f>
        <v>19.75</v>
      </c>
      <c r="G65" s="74">
        <f>IF(B65="","",TEXT(RTD("cqg.rtd",,"ContractData",A65,"NetLastTradeToday",,"T"),$D$1)*1)</f>
        <v>4</v>
      </c>
      <c r="H65" s="75">
        <f>IFERROR(IF(B65="","",TEXT(RTD("cqg.rtd",,"ContractData",A65,"NetLastTradeToday",,"T"),$D$1)*1),"")</f>
        <v>4</v>
      </c>
      <c r="I65" s="41">
        <f>IF(B65="","",RTD("cqg.rtd", ,"ContractData",A65, "T_CVol"))</f>
        <v>2503</v>
      </c>
      <c r="J65" s="42"/>
      <c r="K65" s="81"/>
      <c r="L65" s="81"/>
      <c r="M65" s="81"/>
      <c r="N65" s="81"/>
      <c r="O65" s="81"/>
      <c r="P65" s="81"/>
      <c r="Q65" s="81"/>
      <c r="R65" s="82"/>
      <c r="V65" s="91"/>
    </row>
    <row r="66" spans="1:22" ht="15" customHeight="1" x14ac:dyDescent="0.3">
      <c r="A66" s="1" t="str">
        <f>IF(LEFT(RTD("cqg.rtd",,"ContractData",'CLE3'!J21, "Symbol"),3)="768",NA(),RTD("cqg.rtd",,"ContractData",'CLE3'!J21, "Symbol"))</f>
        <v>ZSES3Q25</v>
      </c>
      <c r="B66" s="111" t="str">
        <f>IFERROR(LEFT(RIGHT(RTD("cqg.rtd", ,"ContractData",A66, "LongDescription",, "T"),13),3)&amp;" &amp; "&amp;LEFT(RIGHT(RTD("cqg.rtd", ,"ContractData",A66, "LongDescription",, "T"),4),3),"")</f>
        <v>Q25 &amp; F26</v>
      </c>
      <c r="C66" s="40" t="str">
        <f>IF(B66="","",TEXT(RTD("cqg.rtd", ,"ContractData",A66, "Open",,"T"),$D$1))</f>
        <v/>
      </c>
      <c r="D66" s="40" t="str">
        <f>IF(B66="","",TEXT(RTD("cqg.rtd",,"ContractData",A66,"High",,"T"),$D$1))</f>
        <v/>
      </c>
      <c r="E66" s="40" t="str">
        <f>IF(B66="","",TEXT(RTD("cqg.rtd", ,"ContractData",A66, "Low",,"T"),$D$1))</f>
        <v/>
      </c>
      <c r="F66" s="40" t="str">
        <f>IF(B66="","",TEXT(RTD("cqg.rtd",,"ContractData",A66,"LastTradeorSettle",,"T"),$D$1))</f>
        <v/>
      </c>
      <c r="G66" s="74" t="e">
        <f>IF(B66="","",TEXT(RTD("cqg.rtd",,"ContractData",A66,"NetLastTradeToday",,"T"),$D$1)*1)</f>
        <v>#VALUE!</v>
      </c>
      <c r="H66" s="75" t="str">
        <f>IFERROR(IF(B66="","",TEXT(RTD("cqg.rtd",,"ContractData",A66,"NetLastTradeToday",,"T"),$D$1)*1),"")</f>
        <v/>
      </c>
      <c r="I66" s="41">
        <f>IF(B66="","",RTD("cqg.rtd", ,"ContractData",A66, "T_CVol"))</f>
        <v>0</v>
      </c>
      <c r="J66" s="42"/>
      <c r="K66" s="81"/>
      <c r="L66" s="81"/>
      <c r="M66" s="81"/>
      <c r="N66" s="81"/>
      <c r="O66" s="81"/>
      <c r="P66" s="81"/>
      <c r="Q66" s="81"/>
      <c r="R66" s="82"/>
      <c r="V66" s="91"/>
    </row>
    <row r="67" spans="1:22" ht="15" customHeight="1" x14ac:dyDescent="0.3">
      <c r="A67" s="1" t="str">
        <f>IF(LEFT(RTD("cqg.rtd",,"ContractData",'CLE3'!J22, "Symbol"),3)="768",NA(),RTD("cqg.rtd",,"ContractData",'CLE3'!J22, "Symbol"))</f>
        <v>ZSES3U25</v>
      </c>
      <c r="B67" s="111" t="str">
        <f>IFERROR(LEFT(RIGHT(RTD("cqg.rtd", ,"ContractData",A67, "LongDescription",, "T"),13),3)&amp;" &amp; "&amp;LEFT(RIGHT(RTD("cqg.rtd", ,"ContractData",A67, "LongDescription",, "T"),4),3),"")</f>
        <v>U25 &amp; H26</v>
      </c>
      <c r="C67" s="40" t="str">
        <f>IF(B67="","",TEXT(RTD("cqg.rtd", ,"ContractData",A67, "Open",,"T"),$D$1))</f>
        <v/>
      </c>
      <c r="D67" s="40" t="str">
        <f>IF(B67="","",TEXT(RTD("cqg.rtd",,"ContractData",A67,"High",,"T"),$D$1))</f>
        <v/>
      </c>
      <c r="E67" s="40" t="str">
        <f>IF(B67="","",TEXT(RTD("cqg.rtd", ,"ContractData",A67, "Low",,"T"),$D$1))</f>
        <v/>
      </c>
      <c r="F67" s="40" t="str">
        <f>IF(B67="","",TEXT(RTD("cqg.rtd",,"ContractData",A67,"LastTradeorSettle",,"T"),$D$1))</f>
        <v/>
      </c>
      <c r="G67" s="74" t="e">
        <f>IF(B67="","",TEXT(RTD("cqg.rtd",,"ContractData",A67,"NetLastTradeToday",,"T"),$D$1)*1)</f>
        <v>#VALUE!</v>
      </c>
      <c r="H67" s="75" t="str">
        <f>IFERROR(IF(B67="","",TEXT(RTD("cqg.rtd",,"ContractData",A67,"NetLastTradeToday",,"T"),$D$1)*1),"")</f>
        <v/>
      </c>
      <c r="I67" s="41">
        <f>IF(B67="","",RTD("cqg.rtd", ,"ContractData",A67, "T_CVol"))</f>
        <v>0</v>
      </c>
      <c r="J67" s="42"/>
      <c r="K67" s="81"/>
      <c r="L67" s="81"/>
      <c r="M67" s="81"/>
      <c r="N67" s="81"/>
      <c r="O67" s="81"/>
      <c r="P67" s="81"/>
      <c r="Q67" s="81"/>
      <c r="R67" s="82"/>
      <c r="V67" s="91"/>
    </row>
    <row r="68" spans="1:22" ht="15" customHeight="1" x14ac:dyDescent="0.3">
      <c r="A68" s="1" t="str">
        <f>IF(LEFT(RTD("cqg.rtd",,"ContractData",'CLE3'!J23, "Symbol"),3)="768",NA(),RTD("cqg.rtd",,"ContractData",'CLE3'!J23, "Symbol"))</f>
        <v>ZSES3X25</v>
      </c>
      <c r="B68" s="111" t="str">
        <f>IFERROR(LEFT(RIGHT(RTD("cqg.rtd", ,"ContractData",A68, "LongDescription",, "T"),13),3)&amp;" &amp; "&amp;LEFT(RIGHT(RTD("cqg.rtd", ,"ContractData",A68, "LongDescription",, "T"),4),3),"")</f>
        <v>X25 &amp; K26</v>
      </c>
      <c r="C68" s="40" t="str">
        <f>IF(B68="","",TEXT(RTD("cqg.rtd", ,"ContractData",A68, "Open",,"T"),$D$1))</f>
        <v/>
      </c>
      <c r="D68" s="40" t="str">
        <f>IF(B68="","",TEXT(RTD("cqg.rtd",,"ContractData",A68,"High",,"T"),$D$1))</f>
        <v/>
      </c>
      <c r="E68" s="40" t="str">
        <f>IF(B68="","",TEXT(RTD("cqg.rtd", ,"ContractData",A68, "Low",,"T"),$D$1))</f>
        <v/>
      </c>
      <c r="F68" s="40" t="str">
        <f>IF(B68="","",TEXT(RTD("cqg.rtd",,"ContractData",A68,"LastTradeorSettle",,"T"),$D$1))</f>
        <v/>
      </c>
      <c r="G68" s="74" t="e">
        <f>IF(B68="","",TEXT(RTD("cqg.rtd",,"ContractData",A68,"NetLastTradeToday",,"T"),$D$1)*1)</f>
        <v>#VALUE!</v>
      </c>
      <c r="H68" s="75" t="str">
        <f>IFERROR(IF(B68="","",TEXT(RTD("cqg.rtd",,"ContractData",A68,"NetLastTradeToday",,"T"),$D$1)*1),"")</f>
        <v/>
      </c>
      <c r="I68" s="41">
        <f>IF(B68="","",RTD("cqg.rtd", ,"ContractData",A68, "T_CVol"))</f>
        <v>0</v>
      </c>
      <c r="J68" s="42"/>
      <c r="K68" s="81"/>
      <c r="L68" s="81"/>
      <c r="M68" s="81"/>
      <c r="N68" s="81"/>
      <c r="O68" s="81"/>
      <c r="P68" s="81"/>
      <c r="Q68" s="81"/>
      <c r="R68" s="82"/>
      <c r="V68" s="91"/>
    </row>
    <row r="69" spans="1:22" ht="15" customHeight="1" x14ac:dyDescent="0.3">
      <c r="A69" s="1" t="str">
        <f>IF(LEFT(RTD("cqg.rtd",,"ContractData",'CLE3'!J24, "Symbol"),3)="768",NA(),RTD("cqg.rtd",,"ContractData",'CLE3'!J24, "Symbol"))</f>
        <v>ZSES3F26</v>
      </c>
      <c r="B69" s="111" t="str">
        <f>IFERROR(LEFT(RIGHT(RTD("cqg.rtd", ,"ContractData",A69, "LongDescription",, "T"),13),3)&amp;" &amp; "&amp;LEFT(RIGHT(RTD("cqg.rtd", ,"ContractData",A69, "LongDescription",, "T"),4),3),"")</f>
        <v>F26 &amp; N26</v>
      </c>
      <c r="C69" s="40" t="str">
        <f>IF(B69="","",TEXT(RTD("cqg.rtd", ,"ContractData",A69, "Open",,"T"),$D$1))</f>
        <v/>
      </c>
      <c r="D69" s="40" t="str">
        <f>IF(B69="","",TEXT(RTD("cqg.rtd",,"ContractData",A69,"High",,"T"),$D$1))</f>
        <v/>
      </c>
      <c r="E69" s="40" t="str">
        <f>IF(B69="","",TEXT(RTD("cqg.rtd", ,"ContractData",A69, "Low",,"T"),$D$1))</f>
        <v/>
      </c>
      <c r="F69" s="40" t="str">
        <f>IF(B69="","",TEXT(RTD("cqg.rtd",,"ContractData",A69,"LastTradeorSettle",,"T"),$D$1))</f>
        <v/>
      </c>
      <c r="G69" s="74" t="e">
        <f>IF(B69="","",TEXT(RTD("cqg.rtd",,"ContractData",A69,"NetLastTradeToday",,"T"),$D$1)*1)</f>
        <v>#VALUE!</v>
      </c>
      <c r="H69" s="75" t="str">
        <f>IFERROR(IF(B69="","",TEXT(RTD("cqg.rtd",,"ContractData",A69,"NetLastTradeToday",,"T"),$D$1)*1),"")</f>
        <v/>
      </c>
      <c r="I69" s="41">
        <f>IF(B69="","",RTD("cqg.rtd", ,"ContractData",A69, "T_CVol"))</f>
        <v>0</v>
      </c>
      <c r="J69" s="42"/>
      <c r="K69" s="81"/>
      <c r="L69" s="81"/>
      <c r="M69" s="81"/>
      <c r="N69" s="81"/>
      <c r="O69" s="81"/>
      <c r="P69" s="81"/>
      <c r="Q69" s="81"/>
      <c r="R69" s="82"/>
      <c r="V69" s="91"/>
    </row>
    <row r="70" spans="1:22" ht="15" customHeight="1" x14ac:dyDescent="0.3">
      <c r="A70" s="1" t="str">
        <f>IF(LEFT(RTD("cqg.rtd",,"ContractData",'CLE3'!J25, "Symbol"),3)="768",NA(),RTD("cqg.rtd",,"ContractData",'CLE3'!J25, "Symbol"))</f>
        <v>ZSES3H26</v>
      </c>
      <c r="B70" s="111" t="str">
        <f>IFERROR(LEFT(RIGHT(RTD("cqg.rtd", ,"ContractData",A70, "LongDescription",, "T"),13),3)&amp;" &amp; "&amp;LEFT(RIGHT(RTD("cqg.rtd", ,"ContractData",A70, "LongDescription",, "T"),4),3),"")</f>
        <v>H26 &amp; Q26</v>
      </c>
      <c r="C70" s="40" t="str">
        <f>IF(B70="","",TEXT(RTD("cqg.rtd", ,"ContractData",A70, "Open",,"T"),$D$1))</f>
        <v/>
      </c>
      <c r="D70" s="40" t="str">
        <f>IF(B70="","",TEXT(RTD("cqg.rtd",,"ContractData",A70,"High",,"T"),$D$1))</f>
        <v/>
      </c>
      <c r="E70" s="40" t="str">
        <f>IF(B70="","",TEXT(RTD("cqg.rtd", ,"ContractData",A70, "Low",,"T"),$D$1))</f>
        <v/>
      </c>
      <c r="F70" s="40" t="str">
        <f>IF(B70="","",TEXT(RTD("cqg.rtd",,"ContractData",A70,"LastTradeorSettle",,"T"),$D$1))</f>
        <v/>
      </c>
      <c r="G70" s="74" t="e">
        <f>IF(B70="","",TEXT(RTD("cqg.rtd",,"ContractData",A70,"NetLastTradeToday",,"T"),$D$1)*1)</f>
        <v>#VALUE!</v>
      </c>
      <c r="H70" s="75" t="str">
        <f>IFERROR(IF(B70="","",TEXT(RTD("cqg.rtd",,"ContractData",A70,"NetLastTradeToday",,"T"),$D$1)*1),"")</f>
        <v/>
      </c>
      <c r="I70" s="41">
        <f>IF(B70="","",RTD("cqg.rtd", ,"ContractData",A70, "T_CVol"))</f>
        <v>0</v>
      </c>
      <c r="J70" s="42"/>
      <c r="K70" s="81"/>
      <c r="L70" s="81"/>
      <c r="M70" s="81"/>
      <c r="N70" s="81"/>
      <c r="O70" s="81"/>
      <c r="P70" s="81"/>
      <c r="Q70" s="81"/>
      <c r="R70" s="82"/>
      <c r="V70" s="91"/>
    </row>
    <row r="71" spans="1:22" ht="15" customHeight="1" x14ac:dyDescent="0.3">
      <c r="A71" s="1" t="str">
        <f>IF(LEFT(RTD("cqg.rtd",,"ContractData",'CLE3'!J26, "Symbol"),3)="768",NA(),RTD("cqg.rtd",,"ContractData",'CLE3'!J26, "Symbol"))</f>
        <v>ZSES3K26</v>
      </c>
      <c r="B71" s="111" t="str">
        <f>IFERROR(LEFT(RIGHT(RTD("cqg.rtd", ,"ContractData",A71, "LongDescription",, "T"),13),3)&amp;" &amp; "&amp;LEFT(RIGHT(RTD("cqg.rtd", ,"ContractData",A71, "LongDescription",, "T"),4),3),"")</f>
        <v>K26 &amp; U26</v>
      </c>
      <c r="C71" s="40" t="str">
        <f>IF(B71="","",TEXT(RTD("cqg.rtd", ,"ContractData",A71, "Open",,"T"),$D$1))</f>
        <v/>
      </c>
      <c r="D71" s="40" t="str">
        <f>IF(B71="","",TEXT(RTD("cqg.rtd",,"ContractData",A71,"High",,"T"),$D$1))</f>
        <v/>
      </c>
      <c r="E71" s="40" t="str">
        <f>IF(B71="","",TEXT(RTD("cqg.rtd", ,"ContractData",A71, "Low",,"T"),$D$1))</f>
        <v/>
      </c>
      <c r="F71" s="40" t="str">
        <f>IF(B71="","",TEXT(RTD("cqg.rtd",,"ContractData",A71,"LastTradeorSettle",,"T"),$D$1))</f>
        <v/>
      </c>
      <c r="G71" s="74" t="e">
        <f>IF(B71="","",TEXT(RTD("cqg.rtd",,"ContractData",A71,"NetLastTradeToday",,"T"),$D$1)*1)</f>
        <v>#VALUE!</v>
      </c>
      <c r="H71" s="75" t="str">
        <f>IFERROR(IF(B71="","",TEXT(RTD("cqg.rtd",,"ContractData",A71,"NetLastTradeToday",,"T"),$D$1)*1),"")</f>
        <v/>
      </c>
      <c r="I71" s="41">
        <f>IF(B71="","",RTD("cqg.rtd", ,"ContractData",A71, "T_CVol"))</f>
        <v>0</v>
      </c>
      <c r="J71" s="42"/>
      <c r="K71" s="81"/>
      <c r="L71" s="81"/>
      <c r="M71" s="81"/>
      <c r="N71" s="81"/>
      <c r="O71" s="81"/>
      <c r="P71" s="81"/>
      <c r="Q71" s="81"/>
      <c r="R71" s="82"/>
      <c r="V71" s="91"/>
    </row>
    <row r="72" spans="1:22" ht="15" customHeight="1" x14ac:dyDescent="0.3">
      <c r="A72" s="1" t="str">
        <f>IF(LEFT(RTD("cqg.rtd",,"ContractData",'CLE3'!J27, "Symbol"),3)="768",NA(),RTD("cqg.rtd",,"ContractData",'CLE3'!J27, "Symbol"))</f>
        <v>ZSES3N26</v>
      </c>
      <c r="B72" s="111" t="str">
        <f>IFERROR(LEFT(RIGHT(RTD("cqg.rtd", ,"ContractData",A72, "LongDescription",, "T"),13),3)&amp;" &amp; "&amp;LEFT(RIGHT(RTD("cqg.rtd", ,"ContractData",A72, "LongDescription",, "T"),4),3),"")</f>
        <v>N26 &amp; X26</v>
      </c>
      <c r="C72" s="40" t="str">
        <f>IF(B72="","",TEXT(RTD("cqg.rtd", ,"ContractData",A72, "Open",,"T"),$D$1))</f>
        <v>15.00</v>
      </c>
      <c r="D72" s="40" t="str">
        <f>IF(B72="","",TEXT(RTD("cqg.rtd",,"ContractData",A72,"High",,"T"),$D$1))</f>
        <v>15.00</v>
      </c>
      <c r="E72" s="40" t="str">
        <f>IF(B72="","",TEXT(RTD("cqg.rtd", ,"ContractData",A72, "Low",,"T"),$D$1))</f>
        <v>13.50</v>
      </c>
      <c r="F72" s="40" t="str">
        <f>IF(B72="","",TEXT(RTD("cqg.rtd",,"ContractData",A72,"LastTradeorSettle",,"T"),$D$1))</f>
        <v>15.00</v>
      </c>
      <c r="G72" s="74">
        <f>IF(B72="","",TEXT(RTD("cqg.rtd",,"ContractData",A72,"NetLastTradeToday",,"T"),$D$1)*1)</f>
        <v>0</v>
      </c>
      <c r="H72" s="75">
        <f>IFERROR(IF(B72="","",TEXT(RTD("cqg.rtd",,"ContractData",A72,"NetLastTradeToday",,"T"),$D$1)*1),"")</f>
        <v>0</v>
      </c>
      <c r="I72" s="41">
        <f>IF(B72="","",RTD("cqg.rtd", ,"ContractData",A72, "T_CVol"))</f>
        <v>59</v>
      </c>
      <c r="J72" s="42"/>
      <c r="K72" s="81"/>
      <c r="L72" s="81"/>
      <c r="M72" s="81"/>
      <c r="N72" s="81"/>
      <c r="O72" s="81"/>
      <c r="P72" s="81"/>
      <c r="Q72" s="81"/>
      <c r="R72" s="82"/>
      <c r="V72" s="91"/>
    </row>
    <row r="73" spans="1:22" ht="12" customHeight="1" x14ac:dyDescent="0.3">
      <c r="B73" s="138"/>
      <c r="C73" s="139"/>
      <c r="D73" s="57"/>
      <c r="E73" s="58"/>
      <c r="F73" s="59"/>
      <c r="G73" s="58"/>
      <c r="H73" s="60"/>
      <c r="I73" s="58"/>
      <c r="J73" s="61"/>
      <c r="K73" s="81"/>
      <c r="L73" s="81"/>
      <c r="M73" s="81"/>
      <c r="N73" s="81"/>
      <c r="O73" s="81"/>
      <c r="P73" s="81"/>
      <c r="Q73" s="81"/>
      <c r="R73" s="82"/>
      <c r="V73" s="91"/>
    </row>
    <row r="74" spans="1:22" ht="15" customHeight="1" x14ac:dyDescent="0.2">
      <c r="B74" s="116" t="s">
        <v>40</v>
      </c>
      <c r="C74" s="117"/>
      <c r="D74" s="117"/>
      <c r="E74" s="117"/>
      <c r="F74" s="117"/>
      <c r="G74" s="117"/>
      <c r="H74" s="117"/>
      <c r="I74" s="117"/>
      <c r="J74" s="66"/>
      <c r="K74" s="67" t="str">
        <f>B77</f>
        <v>X24 &amp; N25</v>
      </c>
      <c r="L74" s="89" t="str">
        <f>B78</f>
        <v>F25 &amp; Q25</v>
      </c>
      <c r="M74" s="89" t="str">
        <f>B79</f>
        <v>H25 &amp; U25</v>
      </c>
      <c r="N74" s="89" t="str">
        <f>B80</f>
        <v>K25 &amp; X25</v>
      </c>
      <c r="O74" s="89" t="str">
        <f>B81</f>
        <v>N25 &amp; F26</v>
      </c>
      <c r="P74" s="89" t="str">
        <f>B82</f>
        <v>Q25 &amp; H26</v>
      </c>
      <c r="Q74" s="20" t="str">
        <f>B83</f>
        <v>U25 &amp; K26</v>
      </c>
      <c r="R74" s="20" t="str">
        <f>B84</f>
        <v>X25 &amp; N26</v>
      </c>
      <c r="S74" s="20" t="str">
        <f>B85</f>
        <v>F26 &amp; Q26</v>
      </c>
      <c r="T74" s="20" t="str">
        <f>B86</f>
        <v>H26 &amp; U26</v>
      </c>
      <c r="U74" s="20" t="str">
        <f>B87</f>
        <v>K26 &amp; X26</v>
      </c>
      <c r="V74" s="20" t="str">
        <f>B88</f>
        <v>N26 &amp; F27</v>
      </c>
    </row>
    <row r="75" spans="1:22" ht="15" customHeight="1" x14ac:dyDescent="0.3">
      <c r="B75" s="118"/>
      <c r="C75" s="119"/>
      <c r="D75" s="119"/>
      <c r="E75" s="119"/>
      <c r="F75" s="119"/>
      <c r="G75" s="119"/>
      <c r="H75" s="119"/>
      <c r="I75" s="119"/>
      <c r="J75" s="66"/>
      <c r="K75" s="68" t="str">
        <f>IF(K74="","",IF(RTD("cqg.rtd",,"ContractData",A77,"Ask",,"T")="","",TEXT(RTD("cqg.rtd",,"ContractData",A77,"Ask",,"T"),$D$1)&amp;" "&amp;"A"))</f>
        <v>-45.75 A</v>
      </c>
      <c r="L75" s="22" t="str">
        <f>IF(L74="","",IF(RTD("cqg.rtd",,"ContractData",A78,"Ask",,"T")="","",TEXT(RTD("cqg.rtd",,"ContractData",A78,"Ask",,"T"),$D$1)&amp;" "&amp;"A"))</f>
        <v>-33.00 A</v>
      </c>
      <c r="M75" s="69" t="str">
        <f>IF(M74="","",IF(RTD("cqg.rtd",,"ContractData",A79,"Ask",,"T")="","",TEXT(RTD("cqg.rtd",,"ContractData",A79,"Ask",,"T"),$D$1)&amp;" "&amp;"A"))</f>
        <v>-6.25 A</v>
      </c>
      <c r="N75" s="69" t="str">
        <f>IF(N74="","",IF(RTD("cqg.rtd",,"ContractData",A80,"Ask",,"T")="","",TEXT(RTD("cqg.rtd",,"ContractData",A80,"Ask",,"T"),$D$1)&amp;" "&amp;"A"))</f>
        <v>8.75 A</v>
      </c>
      <c r="O75" s="69" t="str">
        <f>IF(O74="","",IF(RTD("cqg.rtd",,"ContractData",A81,"Ask",,"T")="","",TEXT(RTD("cqg.rtd",,"ContractData",A81,"Ask",,"T"),$D$1)&amp;" "&amp;"A"))</f>
        <v>11.00 A</v>
      </c>
      <c r="P75" s="69" t="str">
        <f>IF(P74="","",IF(RTD("cqg.rtd",,"ContractData",A82,"Ask",,"T")="","",TEXT(RTD("cqg.rtd",,"ContractData",A82,"Ask",,"T"),$D$1)&amp;" "&amp;"A"))</f>
        <v>9.50 A</v>
      </c>
      <c r="Q75" s="69" t="str">
        <f>IF(Q74="","",IF(RTD("cqg.rtd",,"ContractData",A83,"Ask",,"T")="","",TEXT(RTD("cqg.rtd",,"ContractData",A83,"Ask",,"T"),$D$1)&amp;" "&amp;"A"))</f>
        <v>-10.75 A</v>
      </c>
      <c r="R75" s="69" t="str">
        <f>IF(R74="","",IF(RTD("cqg.rtd",,"ContractData",A84,"Ask",,"T")="","",TEXT(RTD("cqg.rtd",,"ContractData",A84,"Ask",,"T"),$D$1)&amp;" "&amp;"A"))</f>
        <v>-20.75 A</v>
      </c>
      <c r="S75" s="70" t="str">
        <f>IF(S74="","",IF(RTD("cqg.rtd",,"ContractData",A85,"Ask",,"T")="","",TEXT(RTD("cqg.rtd",,"ContractData",A85,"Ask",,"T"),$D$1)&amp;" "&amp;"A"))</f>
        <v/>
      </c>
      <c r="T75" s="69" t="str">
        <f>IF(T74="","",IF(RTD("cqg.rtd",,"ContractData",A86,"Ask",,"T")="","",TEXT(RTD("cqg.rtd",,"ContractData",A86,"Ask",,"T"),$D$1)&amp;" "&amp;"A"))</f>
        <v>31.25 A</v>
      </c>
      <c r="U75" s="69" t="str">
        <f>IF(U74="","",IF(RTD("cqg.rtd",,"ContractData",A87,"Ask",,"T")="","",TEXT(RTD("cqg.rtd",,"ContractData",A87,"Ask",,"T"),$D$1)&amp;" "&amp;"A"))</f>
        <v>13.75 A</v>
      </c>
      <c r="V75" s="69" t="str">
        <f>IF(V74="","",IF(RTD("cqg.rtd",,"ContractData",A88,"Ask",,"T")="","",TEXT(RTD("cqg.rtd",,"ContractData",A88,"Ask",,"T"),$D$1)&amp;" "&amp;"A"))</f>
        <v/>
      </c>
    </row>
    <row r="76" spans="1:22" ht="15" customHeight="1" x14ac:dyDescent="0.3">
      <c r="B76" s="32" t="s">
        <v>16</v>
      </c>
      <c r="C76" s="33" t="s">
        <v>9</v>
      </c>
      <c r="D76" s="33" t="s">
        <v>10</v>
      </c>
      <c r="E76" s="33" t="s">
        <v>11</v>
      </c>
      <c r="F76" s="33" t="s">
        <v>8</v>
      </c>
      <c r="G76" s="33" t="s">
        <v>12</v>
      </c>
      <c r="H76" s="33" t="s">
        <v>12</v>
      </c>
      <c r="I76" s="71" t="s">
        <v>13</v>
      </c>
      <c r="J76" s="72"/>
      <c r="K76" s="73" t="str">
        <f>IF(K74="","",IF(RTD("cqg.rtd",,"ContractData",A77,"Bid",,"T")="","",TEXT(RTD("cqg.rtd",,"ContractData",A77,"Bid",,"T"),$D$1)&amp;" "&amp;"B"))</f>
        <v>-52.50 B</v>
      </c>
      <c r="L76" s="22" t="str">
        <f>IF(L74="","",IF(RTD("cqg.rtd",,"ContractData",A78,"Bid",,"T")="","",TEXT(RTD("cqg.rtd",,"ContractData",A78,"Bid",,"T"),$D$1)&amp;" "&amp;"B"))</f>
        <v>-33.50 B</v>
      </c>
      <c r="M76" s="69" t="str">
        <f>IF(M74="","",IF(RTD("cqg.rtd",,"ContractData",A79,"Bid",,"T")="","",TEXT(RTD("cqg.rtd",,"ContractData",A79,"Bid",,"T"),$D$1)&amp;" "&amp;"B"))</f>
        <v>-6.75 B</v>
      </c>
      <c r="N76" s="69" t="str">
        <f>IF(N74="","",IF(RTD("cqg.rtd",,"ContractData",A80,"Bid",,"T")="","",TEXT(RTD("cqg.rtd",,"ContractData",A80,"Bid",,"T"),$D$1)&amp;" "&amp;"B"))</f>
        <v>8.25 B</v>
      </c>
      <c r="O76" s="69" t="str">
        <f>IF(O74="","",IF(RTD("cqg.rtd",,"ContractData",A81,"Bid",,"T")="","",TEXT(RTD("cqg.rtd",,"ContractData",A81,"Bid",,"T"),$D$1)&amp;" "&amp;"B"))</f>
        <v>9.75 B</v>
      </c>
      <c r="P76" s="69" t="str">
        <f>IF(P74="","",IF(RTD("cqg.rtd",,"ContractData",A82,"Bid",,"T")="","",TEXT(RTD("cqg.rtd",,"ContractData",A82,"Bid",,"T"),$D$1)&amp;" "&amp;"B"))</f>
        <v>7.75 B</v>
      </c>
      <c r="Q76" s="69" t="str">
        <f>IF(Q74="","",IF(RTD("cqg.rtd",,"ContractData",A83,"Bid",,"T")="","",TEXT(RTD("cqg.rtd",,"ContractData",A83,"Bid",,"T"),$D$1)&amp;" "&amp;"B"))</f>
        <v>-13.00 B</v>
      </c>
      <c r="R76" s="69" t="str">
        <f>IF(R74="","",IF(RTD("cqg.rtd",,"ContractData",A84,"Bid",,"T")="","",TEXT(RTD("cqg.rtd",,"ContractData",A84,"Bid",,"T"),$D$1)&amp;" "&amp;"B"))</f>
        <v>-22.25 B</v>
      </c>
      <c r="S76" s="69" t="str">
        <f>IF(S74="","",IF(RTD("cqg.rtd",,"ContractData",A85,"Bid",,"T")="","",TEXT(RTD("cqg.rtd",,"ContractData",A85,"Bid",,"T"),$D$1)&amp;" "&amp;"B"))</f>
        <v/>
      </c>
      <c r="T76" s="69" t="str">
        <f>IF(T74="","",IF(RTD("cqg.rtd",,"ContractData",A86,"Bid",,"T")="","",TEXT(RTD("cqg.rtd",,"ContractData",A86,"Bid",,"T"),$D$1)&amp;" "&amp;"B"))</f>
        <v/>
      </c>
      <c r="U76" s="69" t="str">
        <f>IF(U74="","",IF(RTD("cqg.rtd",,"ContractData",A87,"Bid",,"T")="","",TEXT(RTD("cqg.rtd",,"ContractData",A87,"Bid",,"T"),$D$1)&amp;" "&amp;"B"))</f>
        <v>5.25 B</v>
      </c>
      <c r="V76" s="69" t="str">
        <f>IF(V74="","",IF(RTD("cqg.rtd",,"ContractData",A88,"Bid",,"T")="","",TEXT(RTD("cqg.rtd",,"ContractData",A88,"Bid",,"T"),$D$1)&amp;" "&amp;"B"))</f>
        <v/>
      </c>
    </row>
    <row r="77" spans="1:22" ht="15" customHeight="1" x14ac:dyDescent="0.3">
      <c r="A77" s="1" t="str">
        <f>IF(LEFT(RTD("cqg.rtd",,"ContractData",'CLE4'!J16, "Symbol"),3)="768",NA(),RTD("cqg.rtd",,"ContractData",'CLE4'!J16, "Symbol"))</f>
        <v>ZSES4X24</v>
      </c>
      <c r="B77" s="111" t="str">
        <f>IFERROR(LEFT(RIGHT(RTD("cqg.rtd", ,"ContractData",A77, "LongDescription",, "T"),13),3)&amp;" &amp; "&amp;LEFT(RIGHT(RTD("cqg.rtd", ,"ContractData",A77, "LongDescription",, "T"),4),3),"")</f>
        <v>X24 &amp; N25</v>
      </c>
      <c r="C77" s="40" t="str">
        <f>IF(B77="","",TEXT(RTD("cqg.rtd", ,"ContractData",A77, "Open",,"T"),$D$1))</f>
        <v/>
      </c>
      <c r="D77" s="40" t="str">
        <f>IF(B77="","",TEXT(RTD("cqg.rtd",,"ContractData",A77,"High",,"T"),$D$1))</f>
        <v/>
      </c>
      <c r="E77" s="40" t="str">
        <f>IF(B77="","",TEXT(RTD("cqg.rtd", ,"ContractData",A77, "Low",,"T"),$D$1))</f>
        <v/>
      </c>
      <c r="F77" s="40" t="str">
        <f>IF(B77="","",TEXT(RTD("cqg.rtd",,"ContractData",A77,"LastTradeorSettle",,"T"),$D$1))</f>
        <v/>
      </c>
      <c r="G77" s="74" t="e">
        <f>IF(B77="","",TEXT(RTD("cqg.rtd",,"ContractData",A77,"NetLastTradeToday",,"T"),$D$1)*1)</f>
        <v>#VALUE!</v>
      </c>
      <c r="H77" s="75" t="str">
        <f>IFERROR(IF(B77="","",TEXT(RTD("cqg.rtd",,"ContractData",A77,"NetLastTradeToday",,"T"),$D$1)*1),"")</f>
        <v/>
      </c>
      <c r="I77" s="41">
        <f>IF(B77="","",RTD("cqg.rtd", ,"ContractData",A77, "T_CVol"))</f>
        <v>0</v>
      </c>
      <c r="J77" s="42"/>
      <c r="K77" s="76" t="str">
        <f>IF(K74="","",IF(RTD("cqg.rtd",,"StudyData",A77,  "Bar",, "Close", "D",,,,,,"T")="","",TEXT(RTD("cqg.rtd",,"StudyData",A77,  "Bar",, "Close", "D",,,,,,"T"),$D$1)&amp;" "&amp;"L"))</f>
        <v/>
      </c>
      <c r="L77" s="76" t="str">
        <f>IF(L74="","",IF(RTD("cqg.rtd",,"StudyData",A78,  "Bar",, "Close", "D",,,,,,"T")="","",TEXT(RTD("cqg.rtd",,"StudyData",A78,  "Bar",, "Close", "D",,,,,,"T"),$D$1)&amp;" "&amp;"L"))</f>
        <v>-33.25 L</v>
      </c>
      <c r="M77" s="69" t="str">
        <f>IF(M74="","",IF(RTD("cqg.rtd",,"StudyData",A79,  "Bar",, "Close", "D",,,,,,"T")="","",TEXT(RTD("cqg.rtd",,"StudyData",A79,  "Bar",, "Close", "D",,,,,,"T"),$D$1)&amp;" "&amp;"L"))</f>
        <v>-6.25 L</v>
      </c>
      <c r="N77" s="69" t="str">
        <f>IF(N74="","",IF(RTD("cqg.rtd",,"StudyData",A80,  "Bar",, "Close", "D",,,,,,"T")="","",TEXT(RTD("cqg.rtd",,"StudyData",A80,  "Bar",, "Close", "D",,,,,,"T"),$D$1)&amp;" "&amp;"L"))</f>
        <v>8.50 L</v>
      </c>
      <c r="O77" s="69" t="str">
        <f>IF(O74="","",IF(RTD("cqg.rtd",,"StudyData",A81,  "Bar",, "Close", "D",,,,,,"T")="","",TEXT(RTD("cqg.rtd",,"StudyData",A81,  "Bar",, "Close", "D",,,,,,"T"),$D$1)&amp;" "&amp;"L"))</f>
        <v/>
      </c>
      <c r="P77" s="69" t="str">
        <f>IF(P74="","",IF(RTD("cqg.rtd",,"StudyData",A82,  "Bar",, "Close", "D",,,,,,"T")="","",TEXT(RTD("cqg.rtd",,"StudyData",A82,  "Bar",, "Close", "D",,,,,,"T"),$D$1)&amp;" "&amp;"L"))</f>
        <v/>
      </c>
      <c r="Q77" s="69" t="str">
        <f>IF(Q74="","",IF(RTD("cqg.rtd",,"StudyData",A83,  "Bar",, "Close", "D",,,,,,"T")="","",TEXT(RTD("cqg.rtd",,"StudyData",A83,  "Bar",, "Close", "D",,,,,,"T"),$D$1)&amp;" "&amp;"L"))</f>
        <v/>
      </c>
      <c r="R77" s="69" t="str">
        <f>IF(R74="","",IF(RTD("cqg.rtd",,"StudyData",A84,  "Bar",, "Close", "D",,,,,,"T")="","",TEXT(RTD("cqg.rtd",,"StudyData",A84,  "Bar",, "Close", "D",,,,,,"T"),$D$1)&amp;" "&amp;"L"))</f>
        <v>-22.25 L</v>
      </c>
      <c r="S77" s="69" t="str">
        <f>IF(S74="","",IF(RTD("cqg.rtd",,"StudyData",A85,  "Bar",, "Close", "D",,,,,,"T")="","",TEXT(RTD("cqg.rtd",,"StudyData",A85,  "Bar",, "Close", "D",,,,,,"T"),$D$1)&amp;" "&amp;"L"))</f>
        <v/>
      </c>
      <c r="T77" s="69" t="str">
        <f>IF(T74="","",IF(RTD("cqg.rtd",,"StudyData",A86,  "Bar",, "Close", "D",,,,,,"T")="","",TEXT(RTD("cqg.rtd",,"StudyData",A86,  "Bar",, "Close", "D",,,,,,"T"),$D$1)&amp;" "&amp;"L"))</f>
        <v/>
      </c>
      <c r="U77" s="69" t="str">
        <f>IF(U74="","",IF(RTD("cqg.rtd",,"StudyData",A87,  "Bar",, "Close", "D",,,,,,"T")="","",TEXT(RTD("cqg.rtd",,"StudyData",A87,  "Bar",, "Close", "D",,,,,,"T"),$D$1)&amp;" "&amp;"L"))</f>
        <v/>
      </c>
      <c r="V77" s="69" t="str">
        <f>IF(V74="","",IF(RTD("cqg.rtd",,"StudyData",A88,  "Bar",, "Close", "D",,,,,,"T")="","",TEXT(RTD("cqg.rtd",,"StudyData",A88,  "Bar",, "Close", "D",,,,,,"T"),$D$1)&amp;" "&amp;"L"))</f>
        <v/>
      </c>
    </row>
    <row r="78" spans="1:22" ht="15" customHeight="1" x14ac:dyDescent="0.3">
      <c r="A78" s="1" t="str">
        <f>IF(LEFT(RTD("cqg.rtd",,"ContractData",'CLE4'!J17, "Symbol"),3)="768",NA(),RTD("cqg.rtd",,"ContractData",'CLE4'!J17, "Symbol"))</f>
        <v>ZSES4F25</v>
      </c>
      <c r="B78" s="111" t="str">
        <f>IFERROR(LEFT(RIGHT(RTD("cqg.rtd", ,"ContractData",A78, "LongDescription",, "T"),13),3)&amp;" &amp; "&amp;LEFT(RIGHT(RTD("cqg.rtd", ,"ContractData",A78, "LongDescription",, "T"),4),3),"")</f>
        <v>F25 &amp; Q25</v>
      </c>
      <c r="C78" s="40" t="str">
        <f>IF(B78="","",TEXT(RTD("cqg.rtd", ,"ContractData",A78, "Open",,"T"),$D$1))</f>
        <v>-36.00</v>
      </c>
      <c r="D78" s="40" t="str">
        <f>IF(B78="","",TEXT(RTD("cqg.rtd",,"ContractData",A78,"High",,"T"),$D$1))</f>
        <v>-32.50</v>
      </c>
      <c r="E78" s="40" t="str">
        <f>IF(B78="","",TEXT(RTD("cqg.rtd", ,"ContractData",A78, "Low",,"T"),$D$1))</f>
        <v>-36.00</v>
      </c>
      <c r="F78" s="40" t="str">
        <f>IF(B78="","",TEXT(RTD("cqg.rtd",,"ContractData",A78,"LastTradeorSettle",,"T"),$D$1))</f>
        <v>-33.25</v>
      </c>
      <c r="G78" s="74">
        <f>IF(B78="","",TEXT(RTD("cqg.rtd",,"ContractData",A78,"NetLastTradeToday",,"T"),$D$1)*1)</f>
        <v>3.75</v>
      </c>
      <c r="H78" s="75">
        <f>IFERROR(IF(B78="","",TEXT(RTD("cqg.rtd",,"ContractData",A78,"NetLastTradeToday",,"T"),$D$1)*1),"")</f>
        <v>3.75</v>
      </c>
      <c r="I78" s="41">
        <f>IF(B78="","",RTD("cqg.rtd", ,"ContractData",A78, "T_CVol"))</f>
        <v>206</v>
      </c>
      <c r="J78" s="42"/>
      <c r="K78" s="81"/>
      <c r="L78" s="81"/>
      <c r="M78" s="81"/>
      <c r="N78" s="81"/>
      <c r="O78" s="81"/>
      <c r="P78" s="81"/>
      <c r="Q78" s="81"/>
      <c r="R78" s="82"/>
      <c r="V78" s="91"/>
    </row>
    <row r="79" spans="1:22" ht="15" customHeight="1" x14ac:dyDescent="0.3">
      <c r="A79" s="1" t="str">
        <f>IF(LEFT(RTD("cqg.rtd",,"ContractData",'CLE4'!J18, "Symbol"),3)="768",NA(),RTD("cqg.rtd",,"ContractData",'CLE4'!J18, "Symbol"))</f>
        <v>ZSES4H25</v>
      </c>
      <c r="B79" s="111" t="str">
        <f>IFERROR(LEFT(RIGHT(RTD("cqg.rtd", ,"ContractData",A79, "LongDescription",, "T"),13),3)&amp;" &amp; "&amp;LEFT(RIGHT(RTD("cqg.rtd", ,"ContractData",A79, "LongDescription",, "T"),4),3),"")</f>
        <v>H25 &amp; U25</v>
      </c>
      <c r="C79" s="40" t="str">
        <f>IF(B79="","",TEXT(RTD("cqg.rtd", ,"ContractData",A79, "Open",,"T"),$D$1))</f>
        <v>-7.00</v>
      </c>
      <c r="D79" s="40" t="str">
        <f>IF(B79="","",TEXT(RTD("cqg.rtd",,"ContractData",A79,"High",,"T"),$D$1))</f>
        <v>-4.00</v>
      </c>
      <c r="E79" s="40" t="str">
        <f>IF(B79="","",TEXT(RTD("cqg.rtd", ,"ContractData",A79, "Low",,"T"),$D$1))</f>
        <v>-7.00</v>
      </c>
      <c r="F79" s="40" t="str">
        <f>IF(B79="","",TEXT(RTD("cqg.rtd",,"ContractData",A79,"LastTradeorSettle",,"T"),$D$1))</f>
        <v>-6.25</v>
      </c>
      <c r="G79" s="74">
        <f>IF(B79="","",TEXT(RTD("cqg.rtd",,"ContractData",A79,"NetLastTradeToday",,"T"),$D$1)*1)</f>
        <v>4.25</v>
      </c>
      <c r="H79" s="75">
        <f>IFERROR(IF(B79="","",TEXT(RTD("cqg.rtd",,"ContractData",A79,"NetLastTradeToday",,"T"),$D$1)*1),"")</f>
        <v>4.25</v>
      </c>
      <c r="I79" s="41">
        <f>IF(B79="","",RTD("cqg.rtd", ,"ContractData",A79, "T_CVol"))</f>
        <v>85</v>
      </c>
      <c r="J79" s="42"/>
      <c r="K79" s="81"/>
      <c r="L79" s="81"/>
      <c r="M79" s="81"/>
      <c r="N79" s="81"/>
      <c r="O79" s="81"/>
      <c r="P79" s="81"/>
      <c r="Q79" s="81"/>
      <c r="R79" s="82"/>
      <c r="V79" s="91"/>
    </row>
    <row r="80" spans="1:22" ht="15" customHeight="1" x14ac:dyDescent="0.3">
      <c r="A80" s="1" t="str">
        <f>IF(LEFT(RTD("cqg.rtd",,"ContractData",'CLE4'!J19, "Symbol"),3)="768",NA(),RTD("cqg.rtd",,"ContractData",'CLE4'!J19, "Symbol"))</f>
        <v>ZSES4K25</v>
      </c>
      <c r="B80" s="111" t="str">
        <f>IFERROR(LEFT(RIGHT(RTD("cqg.rtd", ,"ContractData",A80, "LongDescription",, "T"),13),3)&amp;" &amp; "&amp;LEFT(RIGHT(RTD("cqg.rtd", ,"ContractData",A80, "LongDescription",, "T"),4),3),"")</f>
        <v>K25 &amp; X25</v>
      </c>
      <c r="C80" s="40" t="str">
        <f>IF(B80="","",TEXT(RTD("cqg.rtd", ,"ContractData",A80, "Open",,"T"),$D$1))</f>
        <v>5.50</v>
      </c>
      <c r="D80" s="40" t="str">
        <f>IF(B80="","",TEXT(RTD("cqg.rtd",,"ContractData",A80,"High",,"T"),$D$1))</f>
        <v>11.75</v>
      </c>
      <c r="E80" s="40" t="str">
        <f>IF(B80="","",TEXT(RTD("cqg.rtd", ,"ContractData",A80, "Low",,"T"),$D$1))</f>
        <v>5.50</v>
      </c>
      <c r="F80" s="40" t="str">
        <f>IF(B80="","",TEXT(RTD("cqg.rtd",,"ContractData",A80,"LastTradeorSettle",,"T"),$D$1))</f>
        <v>8.50</v>
      </c>
      <c r="G80" s="74">
        <f>IF(B80="","",TEXT(RTD("cqg.rtd",,"ContractData",A80,"NetLastTradeToday",,"T"),$D$1)*1)</f>
        <v>4.25</v>
      </c>
      <c r="H80" s="75">
        <f>IFERROR(IF(B80="","",TEXT(RTD("cqg.rtd",,"ContractData",A80,"NetLastTradeToday",,"T"),$D$1)*1),"")</f>
        <v>4.25</v>
      </c>
      <c r="I80" s="41">
        <f>IF(B80="","",RTD("cqg.rtd", ,"ContractData",A80, "T_CVol"))</f>
        <v>140</v>
      </c>
      <c r="J80" s="42"/>
      <c r="K80" s="81"/>
      <c r="L80" s="81"/>
      <c r="M80" s="81"/>
      <c r="N80" s="81"/>
      <c r="O80" s="81"/>
      <c r="P80" s="81"/>
      <c r="Q80" s="81"/>
      <c r="R80" s="82"/>
      <c r="V80" s="91"/>
    </row>
    <row r="81" spans="1:22" ht="15" customHeight="1" x14ac:dyDescent="0.3">
      <c r="A81" s="1" t="str">
        <f>IF(LEFT(RTD("cqg.rtd",,"ContractData",'CLE4'!J20, "Symbol"),3)="768",NA(),RTD("cqg.rtd",,"ContractData",'CLE4'!J20, "Symbol"))</f>
        <v>ZSES4N25</v>
      </c>
      <c r="B81" s="111" t="str">
        <f>IFERROR(LEFT(RIGHT(RTD("cqg.rtd", ,"ContractData",A81, "LongDescription",, "T"),13),3)&amp;" &amp; "&amp;LEFT(RIGHT(RTD("cqg.rtd", ,"ContractData",A81, "LongDescription",, "T"),4),3),"")</f>
        <v>N25 &amp; F26</v>
      </c>
      <c r="C81" s="40" t="str">
        <f>IF(B81="","",TEXT(RTD("cqg.rtd", ,"ContractData",A81, "Open",,"T"),$D$1))</f>
        <v/>
      </c>
      <c r="D81" s="40" t="str">
        <f>IF(B81="","",TEXT(RTD("cqg.rtd",,"ContractData",A81,"High",,"T"),$D$1))</f>
        <v/>
      </c>
      <c r="E81" s="40" t="str">
        <f>IF(B81="","",TEXT(RTD("cqg.rtd", ,"ContractData",A81, "Low",,"T"),$D$1))</f>
        <v/>
      </c>
      <c r="F81" s="40" t="str">
        <f>IF(B81="","",TEXT(RTD("cqg.rtd",,"ContractData",A81,"LastTradeorSettle",,"T"),$D$1))</f>
        <v/>
      </c>
      <c r="G81" s="74" t="e">
        <f>IF(B81="","",TEXT(RTD("cqg.rtd",,"ContractData",A81,"NetLastTradeToday",,"T"),$D$1)*1)</f>
        <v>#VALUE!</v>
      </c>
      <c r="H81" s="75" t="str">
        <f>IFERROR(IF(B81="","",TEXT(RTD("cqg.rtd",,"ContractData",A81,"NetLastTradeToday",,"T"),$D$1)*1),"")</f>
        <v/>
      </c>
      <c r="I81" s="41">
        <f>IF(B81="","",RTD("cqg.rtd", ,"ContractData",A81, "T_CVol"))</f>
        <v>0</v>
      </c>
      <c r="J81" s="42"/>
      <c r="K81" s="81"/>
      <c r="L81" s="81"/>
      <c r="M81" s="81"/>
      <c r="N81" s="81"/>
      <c r="O81" s="81"/>
      <c r="P81" s="81"/>
      <c r="Q81" s="81"/>
      <c r="R81" s="82"/>
      <c r="V81" s="91"/>
    </row>
    <row r="82" spans="1:22" ht="15" customHeight="1" x14ac:dyDescent="0.3">
      <c r="A82" s="1" t="str">
        <f>IF(LEFT(RTD("cqg.rtd",,"ContractData",'CLE4'!J21, "Symbol"),3)="768",NA(),RTD("cqg.rtd",,"ContractData",'CLE4'!J21, "Symbol"))</f>
        <v>ZSES4Q25</v>
      </c>
      <c r="B82" s="111" t="str">
        <f>IFERROR(LEFT(RIGHT(RTD("cqg.rtd", ,"ContractData",A82, "LongDescription",, "T"),13),3)&amp;" &amp; "&amp;LEFT(RIGHT(RTD("cqg.rtd", ,"ContractData",A82, "LongDescription",, "T"),4),3),"")</f>
        <v>Q25 &amp; H26</v>
      </c>
      <c r="C82" s="40" t="str">
        <f>IF(B82="","",TEXT(RTD("cqg.rtd", ,"ContractData",A82, "Open",,"T"),$D$1))</f>
        <v/>
      </c>
      <c r="D82" s="40" t="str">
        <f>IF(B82="","",TEXT(RTD("cqg.rtd",,"ContractData",A82,"High",,"T"),$D$1))</f>
        <v/>
      </c>
      <c r="E82" s="40" t="str">
        <f>IF(B82="","",TEXT(RTD("cqg.rtd", ,"ContractData",A82, "Low",,"T"),$D$1))</f>
        <v/>
      </c>
      <c r="F82" s="40" t="str">
        <f>IF(B82="","",TEXT(RTD("cqg.rtd",,"ContractData",A82,"LastTradeorSettle",,"T"),$D$1))</f>
        <v/>
      </c>
      <c r="G82" s="74" t="e">
        <f>IF(B82="","",TEXT(RTD("cqg.rtd",,"ContractData",A82,"NetLastTradeToday",,"T"),$D$1)*1)</f>
        <v>#VALUE!</v>
      </c>
      <c r="H82" s="75" t="str">
        <f>IFERROR(IF(B82="","",TEXT(RTD("cqg.rtd",,"ContractData",A82,"NetLastTradeToday",,"T"),$D$1)*1),"")</f>
        <v/>
      </c>
      <c r="I82" s="41">
        <f>IF(B82="","",RTD("cqg.rtd", ,"ContractData",A82, "T_CVol"))</f>
        <v>0</v>
      </c>
      <c r="J82" s="42"/>
      <c r="K82" s="81"/>
      <c r="L82" s="81"/>
      <c r="M82" s="81"/>
      <c r="N82" s="81"/>
      <c r="O82" s="81"/>
      <c r="P82" s="81"/>
      <c r="Q82" s="81"/>
      <c r="R82" s="82"/>
      <c r="V82" s="91"/>
    </row>
    <row r="83" spans="1:22" ht="15" customHeight="1" x14ac:dyDescent="0.3">
      <c r="A83" s="1" t="str">
        <f>IF(LEFT(RTD("cqg.rtd",,"ContractData",'CLE4'!J22, "Symbol"),3)="768",NA(),RTD("cqg.rtd",,"ContractData",'CLE4'!J22, "Symbol"))</f>
        <v>ZSES4U25</v>
      </c>
      <c r="B83" s="111" t="str">
        <f>IFERROR(LEFT(RIGHT(RTD("cqg.rtd", ,"ContractData",A83, "LongDescription",, "T"),13),3)&amp;" &amp; "&amp;LEFT(RIGHT(RTD("cqg.rtd", ,"ContractData",A83, "LongDescription",, "T"),4),3),"")</f>
        <v>U25 &amp; K26</v>
      </c>
      <c r="C83" s="40" t="str">
        <f>IF(B83="","",TEXT(RTD("cqg.rtd", ,"ContractData",A83, "Open",,"T"),$D$1))</f>
        <v/>
      </c>
      <c r="D83" s="40" t="str">
        <f>IF(B83="","",TEXT(RTD("cqg.rtd",,"ContractData",A83,"High",,"T"),$D$1))</f>
        <v/>
      </c>
      <c r="E83" s="40" t="str">
        <f>IF(B83="","",TEXT(RTD("cqg.rtd", ,"ContractData",A83, "Low",,"T"),$D$1))</f>
        <v/>
      </c>
      <c r="F83" s="40" t="str">
        <f>IF(B83="","",TEXT(RTD("cqg.rtd",,"ContractData",A83,"LastTradeorSettle",,"T"),$D$1))</f>
        <v/>
      </c>
      <c r="G83" s="74" t="e">
        <f>IF(B83="","",TEXT(RTD("cqg.rtd",,"ContractData",A83,"NetLastTradeToday",,"T"),$D$1)*1)</f>
        <v>#VALUE!</v>
      </c>
      <c r="H83" s="75" t="str">
        <f>IFERROR(IF(B83="","",TEXT(RTD("cqg.rtd",,"ContractData",A83,"NetLastTradeToday",,"T"),$D$1)*1),"")</f>
        <v/>
      </c>
      <c r="I83" s="41">
        <f>IF(B83="","",RTD("cqg.rtd", ,"ContractData",A83, "T_CVol"))</f>
        <v>0</v>
      </c>
      <c r="J83" s="42"/>
      <c r="K83" s="81"/>
      <c r="L83" s="81"/>
      <c r="M83" s="81"/>
      <c r="N83" s="81"/>
      <c r="O83" s="81"/>
      <c r="P83" s="81"/>
      <c r="Q83" s="81"/>
      <c r="R83" s="82"/>
      <c r="V83" s="91"/>
    </row>
    <row r="84" spans="1:22" ht="15" customHeight="1" x14ac:dyDescent="0.3">
      <c r="A84" s="1" t="str">
        <f>IF(LEFT(RTD("cqg.rtd",,"ContractData",'CLE4'!J23, "Symbol"),3)="768",NA(),RTD("cqg.rtd",,"ContractData",'CLE4'!J23, "Symbol"))</f>
        <v>ZSES4X25</v>
      </c>
      <c r="B84" s="111" t="str">
        <f>IFERROR(LEFT(RIGHT(RTD("cqg.rtd", ,"ContractData",A84, "LongDescription",, "T"),13),3)&amp;" &amp; "&amp;LEFT(RIGHT(RTD("cqg.rtd", ,"ContractData",A84, "LongDescription",, "T"),4),3),"")</f>
        <v>X25 &amp; N26</v>
      </c>
      <c r="C84" s="40" t="str">
        <f>IF(B84="","",TEXT(RTD("cqg.rtd", ,"ContractData",A84, "Open",,"T"),$D$1))</f>
        <v>-22.50</v>
      </c>
      <c r="D84" s="40" t="str">
        <f>IF(B84="","",TEXT(RTD("cqg.rtd",,"ContractData",A84,"High",,"T"),$D$1))</f>
        <v>-19.75</v>
      </c>
      <c r="E84" s="40" t="str">
        <f>IF(B84="","",TEXT(RTD("cqg.rtd", ,"ContractData",A84, "Low",,"T"),$D$1))</f>
        <v>-22.50</v>
      </c>
      <c r="F84" s="40" t="str">
        <f>IF(B84="","",TEXT(RTD("cqg.rtd",,"ContractData",A84,"LastTradeorSettle",,"T"),$D$1))</f>
        <v>-22.25</v>
      </c>
      <c r="G84" s="74">
        <f>IF(B84="","",TEXT(RTD("cqg.rtd",,"ContractData",A84,"NetLastTradeToday",,"T"),$D$1)*1)</f>
        <v>1</v>
      </c>
      <c r="H84" s="75">
        <f>IFERROR(IF(B84="","",TEXT(RTD("cqg.rtd",,"ContractData",A84,"NetLastTradeToday",,"T"),$D$1)*1),"")</f>
        <v>1</v>
      </c>
      <c r="I84" s="41">
        <f>IF(B84="","",RTD("cqg.rtd", ,"ContractData",A84, "T_CVol"))</f>
        <v>251</v>
      </c>
      <c r="J84" s="42"/>
      <c r="K84" s="81"/>
      <c r="L84" s="81"/>
      <c r="M84" s="81"/>
      <c r="N84" s="81"/>
      <c r="O84" s="81"/>
      <c r="P84" s="81"/>
      <c r="Q84" s="81"/>
      <c r="R84" s="82"/>
      <c r="V84" s="91"/>
    </row>
    <row r="85" spans="1:22" ht="15" customHeight="1" x14ac:dyDescent="0.3">
      <c r="A85" s="1" t="str">
        <f>IF(LEFT(RTD("cqg.rtd",,"ContractData",'CLE4'!J24, "Symbol"),3)="768",NA(),RTD("cqg.rtd",,"ContractData",'CLE4'!J24, "Symbol"))</f>
        <v>ZSES4F26</v>
      </c>
      <c r="B85" s="111" t="str">
        <f>IFERROR(LEFT(RIGHT(RTD("cqg.rtd", ,"ContractData",A85, "LongDescription",, "T"),13),3)&amp;" &amp; "&amp;LEFT(RIGHT(RTD("cqg.rtd", ,"ContractData",A85, "LongDescription",, "T"),4),3),"")</f>
        <v>F26 &amp; Q26</v>
      </c>
      <c r="C85" s="40" t="str">
        <f>IF(B85="","",TEXT(RTD("cqg.rtd", ,"ContractData",A85, "Open",,"T"),$D$1))</f>
        <v/>
      </c>
      <c r="D85" s="40" t="str">
        <f>IF(B85="","",TEXT(RTD("cqg.rtd",,"ContractData",A85,"High",,"T"),$D$1))</f>
        <v/>
      </c>
      <c r="E85" s="40" t="str">
        <f>IF(B85="","",TEXT(RTD("cqg.rtd", ,"ContractData",A85, "Low",,"T"),$D$1))</f>
        <v/>
      </c>
      <c r="F85" s="40" t="str">
        <f>IF(B85="","",TEXT(RTD("cqg.rtd",,"ContractData",A85,"LastTradeorSettle",,"T"),$D$1))</f>
        <v/>
      </c>
      <c r="G85" s="74" t="e">
        <f>IF(B85="","",TEXT(RTD("cqg.rtd",,"ContractData",A85,"NetLastTradeToday",,"T"),$D$1)*1)</f>
        <v>#VALUE!</v>
      </c>
      <c r="H85" s="75" t="str">
        <f>IFERROR(IF(B85="","",TEXT(RTD("cqg.rtd",,"ContractData",A85,"NetLastTradeToday",,"T"),$D$1)*1),"")</f>
        <v/>
      </c>
      <c r="I85" s="41">
        <f>IF(B85="","",RTD("cqg.rtd", ,"ContractData",A85, "T_CVol"))</f>
        <v>0</v>
      </c>
      <c r="J85" s="42"/>
      <c r="K85" s="81"/>
      <c r="L85" s="81"/>
      <c r="M85" s="81"/>
      <c r="N85" s="81"/>
      <c r="O85" s="81"/>
      <c r="P85" s="81"/>
      <c r="Q85" s="81"/>
      <c r="R85" s="82"/>
      <c r="V85" s="91"/>
    </row>
    <row r="86" spans="1:22" ht="15" customHeight="1" x14ac:dyDescent="0.3">
      <c r="A86" s="1" t="str">
        <f>IF(LEFT(RTD("cqg.rtd",,"ContractData",'CLE4'!J25, "Symbol"),3)="768",NA(),RTD("cqg.rtd",,"ContractData",'CLE4'!J25, "Symbol"))</f>
        <v>ZSES4H26</v>
      </c>
      <c r="B86" s="111" t="str">
        <f>IFERROR(LEFT(RIGHT(RTD("cqg.rtd", ,"ContractData",A86, "LongDescription",, "T"),13),3)&amp;" &amp; "&amp;LEFT(RIGHT(RTD("cqg.rtd", ,"ContractData",A86, "LongDescription",, "T"),4),3),"")</f>
        <v>H26 &amp; U26</v>
      </c>
      <c r="C86" s="40" t="str">
        <f>IF(B86="","",TEXT(RTD("cqg.rtd", ,"ContractData",A86, "Open",,"T"),$D$1))</f>
        <v/>
      </c>
      <c r="D86" s="40" t="str">
        <f>IF(B86="","",TEXT(RTD("cqg.rtd",,"ContractData",A86,"High",,"T"),$D$1))</f>
        <v/>
      </c>
      <c r="E86" s="40" t="str">
        <f>IF(B86="","",TEXT(RTD("cqg.rtd", ,"ContractData",A86, "Low",,"T"),$D$1))</f>
        <v/>
      </c>
      <c r="F86" s="40" t="str">
        <f>IF(B86="","",TEXT(RTD("cqg.rtd",,"ContractData",A86,"LastTradeorSettle",,"T"),$D$1))</f>
        <v/>
      </c>
      <c r="G86" s="74" t="e">
        <f>IF(B86="","",TEXT(RTD("cqg.rtd",,"ContractData",A86,"NetLastTradeToday",,"T"),$D$1)*1)</f>
        <v>#VALUE!</v>
      </c>
      <c r="H86" s="75" t="str">
        <f>IFERROR(IF(B86="","",TEXT(RTD("cqg.rtd",,"ContractData",A86,"NetLastTradeToday",,"T"),$D$1)*1),"")</f>
        <v/>
      </c>
      <c r="I86" s="41">
        <f>IF(B86="","",RTD("cqg.rtd", ,"ContractData",A86, "T_CVol"))</f>
        <v>0</v>
      </c>
      <c r="J86" s="42"/>
      <c r="K86" s="81"/>
      <c r="L86" s="81"/>
      <c r="M86" s="81"/>
      <c r="N86" s="81"/>
      <c r="O86" s="81"/>
      <c r="P86" s="81"/>
      <c r="Q86" s="81"/>
      <c r="R86" s="82"/>
      <c r="V86" s="91"/>
    </row>
    <row r="87" spans="1:22" ht="15" customHeight="1" x14ac:dyDescent="0.3">
      <c r="A87" s="1" t="str">
        <f>IF(LEFT(RTD("cqg.rtd",,"ContractData",'CLE4'!J26, "Symbol"),3)="768",NA(),RTD("cqg.rtd",,"ContractData",'CLE4'!J26, "Symbol"))</f>
        <v>ZSES4K26</v>
      </c>
      <c r="B87" s="111" t="str">
        <f>IFERROR(LEFT(RIGHT(RTD("cqg.rtd", ,"ContractData",A87, "LongDescription",, "T"),13),3)&amp;" &amp; "&amp;LEFT(RIGHT(RTD("cqg.rtd", ,"ContractData",A87, "LongDescription",, "T"),4),3),"")</f>
        <v>K26 &amp; X26</v>
      </c>
      <c r="C87" s="40" t="str">
        <f>IF(B87="","",TEXT(RTD("cqg.rtd", ,"ContractData",A87, "Open",,"T"),$D$1))</f>
        <v/>
      </c>
      <c r="D87" s="40" t="str">
        <f>IF(B87="","",TEXT(RTD("cqg.rtd",,"ContractData",A87,"High",,"T"),$D$1))</f>
        <v/>
      </c>
      <c r="E87" s="40" t="str">
        <f>IF(B87="","",TEXT(RTD("cqg.rtd", ,"ContractData",A87, "Low",,"T"),$D$1))</f>
        <v/>
      </c>
      <c r="F87" s="40" t="str">
        <f>IF(B87="","",TEXT(RTD("cqg.rtd",,"ContractData",A87,"LastTradeorSettle",,"T"),$D$1))</f>
        <v/>
      </c>
      <c r="G87" s="74" t="e">
        <f>IF(B87="","",TEXT(RTD("cqg.rtd",,"ContractData",A87,"NetLastTradeToday",,"T"),$D$1)*1)</f>
        <v>#VALUE!</v>
      </c>
      <c r="H87" s="75" t="str">
        <f>IFERROR(IF(B87="","",TEXT(RTD("cqg.rtd",,"ContractData",A87,"NetLastTradeToday",,"T"),$D$1)*1),"")</f>
        <v/>
      </c>
      <c r="I87" s="41">
        <f>IF(B87="","",RTD("cqg.rtd", ,"ContractData",A87, "T_CVol"))</f>
        <v>0</v>
      </c>
      <c r="J87" s="42"/>
      <c r="K87" s="81"/>
      <c r="L87" s="81"/>
      <c r="M87" s="81"/>
      <c r="N87" s="81"/>
      <c r="O87" s="81"/>
      <c r="P87" s="81"/>
      <c r="Q87" s="81"/>
      <c r="R87" s="82"/>
      <c r="V87" s="91"/>
    </row>
    <row r="88" spans="1:22" ht="15" customHeight="1" x14ac:dyDescent="0.3">
      <c r="A88" s="1" t="str">
        <f>IF(LEFT(RTD("cqg.rtd",,"ContractData",'CLE4'!J27, "Symbol"),3)="768",NA(),RTD("cqg.rtd",,"ContractData",'CLE4'!J27, "Symbol"))</f>
        <v>ZSES4N26</v>
      </c>
      <c r="B88" s="111" t="str">
        <f>IFERROR(LEFT(RIGHT(RTD("cqg.rtd", ,"ContractData",A88, "LongDescription",, "T"),13),3)&amp;" &amp; "&amp;LEFT(RIGHT(RTD("cqg.rtd", ,"ContractData",A88, "LongDescription",, "T"),4),3),"")</f>
        <v>N26 &amp; F27</v>
      </c>
      <c r="C88" s="40" t="str">
        <f>IF(B88="","",TEXT(RTD("cqg.rtd", ,"ContractData",A88, "Open",,"T"),$D$1))</f>
        <v/>
      </c>
      <c r="D88" s="40" t="str">
        <f>IF(B88="","",TEXT(RTD("cqg.rtd",,"ContractData",A88,"High",,"T"),$D$1))</f>
        <v/>
      </c>
      <c r="E88" s="40" t="str">
        <f>IF(B88="","",TEXT(RTD("cqg.rtd", ,"ContractData",A88, "Low",,"T"),$D$1))</f>
        <v/>
      </c>
      <c r="F88" s="40" t="str">
        <f>IF(B88="","",TEXT(RTD("cqg.rtd",,"ContractData",A88,"LastTradeorSettle",,"T"),$D$1))</f>
        <v/>
      </c>
      <c r="G88" s="74" t="e">
        <f>IF(B88="","",TEXT(RTD("cqg.rtd",,"ContractData",A88,"NetLastTradeToday",,"T"),$D$1)*1)</f>
        <v>#VALUE!</v>
      </c>
      <c r="H88" s="75" t="str">
        <f>IFERROR(IF(B88="","",TEXT(RTD("cqg.rtd",,"ContractData",A88,"NetLastTradeToday",,"T"),$D$1)*1),"")</f>
        <v/>
      </c>
      <c r="I88" s="41">
        <f>IF(B88="","",RTD("cqg.rtd", ,"ContractData",A88, "T_CVol"))</f>
        <v>0</v>
      </c>
      <c r="J88" s="42"/>
      <c r="K88" s="81"/>
      <c r="L88" s="81"/>
      <c r="M88" s="81"/>
      <c r="N88" s="81"/>
      <c r="O88" s="81"/>
      <c r="P88" s="81"/>
      <c r="Q88" s="81"/>
      <c r="R88" s="82"/>
      <c r="V88" s="91"/>
    </row>
    <row r="89" spans="1:22" ht="12" customHeight="1" x14ac:dyDescent="0.3">
      <c r="B89" s="138"/>
      <c r="C89" s="139"/>
      <c r="D89" s="57"/>
      <c r="E89" s="58"/>
      <c r="F89" s="59"/>
      <c r="G89" s="58"/>
      <c r="H89" s="60"/>
      <c r="I89" s="58"/>
      <c r="J89" s="61"/>
      <c r="K89" s="81"/>
      <c r="L89" s="81"/>
      <c r="M89" s="81"/>
      <c r="N89" s="81"/>
      <c r="O89" s="81"/>
      <c r="P89" s="81"/>
      <c r="Q89" s="81"/>
      <c r="R89" s="82"/>
      <c r="V89" s="91"/>
    </row>
    <row r="90" spans="1:22" ht="15" customHeight="1" x14ac:dyDescent="0.2">
      <c r="B90" s="116" t="s">
        <v>41</v>
      </c>
      <c r="C90" s="117"/>
      <c r="D90" s="117"/>
      <c r="E90" s="117"/>
      <c r="F90" s="117"/>
      <c r="G90" s="117"/>
      <c r="H90" s="117"/>
      <c r="I90" s="117"/>
      <c r="J90" s="66"/>
      <c r="K90" s="67" t="str">
        <f>B93</f>
        <v>X24 &amp; Q25</v>
      </c>
      <c r="L90" s="89" t="str">
        <f>B94</f>
        <v>F25 &amp; U25</v>
      </c>
      <c r="M90" s="89" t="str">
        <f>B95</f>
        <v>H25 &amp; X25</v>
      </c>
      <c r="N90" s="89" t="str">
        <f>B96</f>
        <v>K25 &amp; F26</v>
      </c>
      <c r="O90" s="89" t="str">
        <f>B97</f>
        <v>N25 &amp; H26</v>
      </c>
      <c r="P90" s="89" t="str">
        <f>B98</f>
        <v>Q25 &amp; K26</v>
      </c>
      <c r="Q90" s="20" t="str">
        <f>B99</f>
        <v>U25 &amp; N26</v>
      </c>
      <c r="R90" s="20" t="str">
        <f>B100</f>
        <v>X25 &amp; Q26</v>
      </c>
      <c r="S90" s="20" t="str">
        <f>B101</f>
        <v>F26 &amp; U26</v>
      </c>
      <c r="T90" s="20" t="str">
        <f>B102</f>
        <v>H26 &amp; X26</v>
      </c>
      <c r="U90" s="20" t="str">
        <f>B103</f>
        <v>K26 &amp; F27</v>
      </c>
      <c r="V90" s="20" t="str">
        <f>B104</f>
        <v>N26 &amp; H27</v>
      </c>
    </row>
    <row r="91" spans="1:22" ht="15" customHeight="1" x14ac:dyDescent="0.3">
      <c r="B91" s="118"/>
      <c r="C91" s="119"/>
      <c r="D91" s="119"/>
      <c r="E91" s="119"/>
      <c r="F91" s="119"/>
      <c r="G91" s="119"/>
      <c r="H91" s="119"/>
      <c r="I91" s="119"/>
      <c r="J91" s="66"/>
      <c r="K91" s="68" t="str">
        <f>IF(K90="","",IF(RTD("cqg.rtd",,"ContractData",A93,"Ask",,"T")="","",TEXT(RTD("cqg.rtd",,"ContractData",A93,"Ask",,"T"),$D$1)&amp;" "&amp;"A"))</f>
        <v>-43.50 A</v>
      </c>
      <c r="L91" s="22" t="str">
        <f>IF(L90="","",IF(RTD("cqg.rtd",,"ContractData",A94,"Ask",,"T")="","",TEXT(RTD("cqg.rtd",,"ContractData",A94,"Ask",,"T"),$D$1)&amp;" "&amp;"A"))</f>
        <v>-18.00 A</v>
      </c>
      <c r="M91" s="69" t="str">
        <f>IF(M90="","",IF(RTD("cqg.rtd",,"ContractData",A95,"Ask",,"T")="","",TEXT(RTD("cqg.rtd",,"ContractData",A95,"Ask",,"T"),$D$1)&amp;" "&amp;"A"))</f>
        <v>-3.75 A</v>
      </c>
      <c r="N91" s="69" t="str">
        <f>IF(N90="","",IF(RTD("cqg.rtd",,"ContractData",A96,"Ask",,"T")="","",TEXT(RTD("cqg.rtd",,"ContractData",A96,"Ask",,"T"),$D$1)&amp;" "&amp;"A"))</f>
        <v>.00 A</v>
      </c>
      <c r="O91" s="69" t="str">
        <f>IF(O90="","",IF(RTD("cqg.rtd",,"ContractData",A97,"Ask",,"T")="","",TEXT(RTD("cqg.rtd",,"ContractData",A97,"Ask",,"T"),$D$1)&amp;" "&amp;"A"))</f>
        <v>11.50 A</v>
      </c>
      <c r="P91" s="69" t="str">
        <f>IF(P90="","",IF(RTD("cqg.rtd",,"ContractData",A98,"Ask",,"T")="","",TEXT(RTD("cqg.rtd",,"ContractData",A98,"Ask",,"T"),$D$1)&amp;" "&amp;"A"))</f>
        <v>4.50 A</v>
      </c>
      <c r="Q91" s="69" t="str">
        <f>IF(Q90="","",IF(RTD("cqg.rtd",,"ContractData",A99,"Ask",,"T")="","",TEXT(RTD("cqg.rtd",,"ContractData",A99,"Ask",,"T"),$D$1)&amp;" "&amp;"A"))</f>
        <v>-18.00 A</v>
      </c>
      <c r="R91" s="69" t="str">
        <f>IF(R90="","",IF(RTD("cqg.rtd",,"ContractData",A100,"Ask",,"T")="","",TEXT(RTD("cqg.rtd",,"ContractData",A100,"Ask",,"T"),$D$1)&amp;" "&amp;"A"))</f>
        <v/>
      </c>
      <c r="S91" s="70" t="str">
        <f>IF(S90="","",IF(RTD("cqg.rtd",,"ContractData",A101,"Ask",,"T")="","",TEXT(RTD("cqg.rtd",,"ContractData",A101,"Ask",,"T"),$D$1)&amp;" "&amp;"A"))</f>
        <v>31.50 A</v>
      </c>
      <c r="T91" s="69" t="str">
        <f>IF(T90="","",IF(RTD("cqg.rtd",,"ContractData",A102,"Ask",,"T")="","",TEXT(RTD("cqg.rtd",,"ContractData",A102,"Ask",,"T"),$D$1)&amp;" "&amp;"A"))</f>
        <v>8.00 A</v>
      </c>
      <c r="U91" s="69" t="str">
        <f>IF(U90="","",IF(RTD("cqg.rtd",,"ContractData",A103,"Ask",,"T")="","",TEXT(RTD("cqg.rtd",,"ContractData",A103,"Ask",,"T"),$D$1)&amp;" "&amp;"A"))</f>
        <v/>
      </c>
      <c r="V91" s="69" t="str">
        <f>IF(V90="","",IF(RTD("cqg.rtd",,"ContractData",A104,"Ask",,"T")="","",TEXT(RTD("cqg.rtd",,"ContractData",A104,"Ask",,"T"),$D$1)&amp;" "&amp;"A"))</f>
        <v/>
      </c>
    </row>
    <row r="92" spans="1:22" ht="15" customHeight="1" x14ac:dyDescent="0.3">
      <c r="B92" s="32" t="s">
        <v>16</v>
      </c>
      <c r="C92" s="33" t="s">
        <v>9</v>
      </c>
      <c r="D92" s="33" t="s">
        <v>10</v>
      </c>
      <c r="E92" s="33" t="s">
        <v>11</v>
      </c>
      <c r="F92" s="33" t="s">
        <v>8</v>
      </c>
      <c r="G92" s="33" t="s">
        <v>12</v>
      </c>
      <c r="H92" s="33" t="s">
        <v>12</v>
      </c>
      <c r="I92" s="71" t="s">
        <v>13</v>
      </c>
      <c r="J92" s="72"/>
      <c r="K92" s="73" t="str">
        <f>IF(K90="","",IF(RTD("cqg.rtd",,"ContractData",A93,"Bid",,"T")="","",TEXT(RTD("cqg.rtd",,"ContractData",A93,"Bid",,"T"),$D$1)&amp;" "&amp;"B"))</f>
        <v>-50.50 B</v>
      </c>
      <c r="L92" s="22" t="str">
        <f>IF(L90="","",IF(RTD("cqg.rtd",,"ContractData",A94,"Bid",,"T")="","",TEXT(RTD("cqg.rtd",,"ContractData",A94,"Bid",,"T"),$D$1)&amp;" "&amp;"B"))</f>
        <v>-18.50 B</v>
      </c>
      <c r="M92" s="69" t="str">
        <f>IF(M90="","",IF(RTD("cqg.rtd",,"ContractData",A95,"Bid",,"T")="","",TEXT(RTD("cqg.rtd",,"ContractData",A95,"Bid",,"T"),$D$1)&amp;" "&amp;"B"))</f>
        <v>-4.25 B</v>
      </c>
      <c r="N92" s="69" t="str">
        <f>IF(N90="","",IF(RTD("cqg.rtd",,"ContractData",A96,"Bid",,"T")="","",TEXT(RTD("cqg.rtd",,"ContractData",A96,"Bid",,"T"),$D$1)&amp;" "&amp;"B"))</f>
        <v>-1.25 B</v>
      </c>
      <c r="O92" s="69" t="str">
        <f>IF(O90="","",IF(RTD("cqg.rtd",,"ContractData",A97,"Bid",,"T")="","",TEXT(RTD("cqg.rtd",,"ContractData",A97,"Bid",,"T"),$D$1)&amp;" "&amp;"B"))</f>
        <v>10.00 B</v>
      </c>
      <c r="P92" s="69" t="str">
        <f>IF(P90="","",IF(RTD("cqg.rtd",,"ContractData",A98,"Bid",,"T")="","",TEXT(RTD("cqg.rtd",,"ContractData",A98,"Bid",,"T"),$D$1)&amp;" "&amp;"B"))</f>
        <v>2.00 B</v>
      </c>
      <c r="Q92" s="69" t="str">
        <f>IF(Q90="","",IF(RTD("cqg.rtd",,"ContractData",A99,"Bid",,"T")="","",TEXT(RTD("cqg.rtd",,"ContractData",A99,"Bid",,"T"),$D$1)&amp;" "&amp;"B"))</f>
        <v>-20.50 B</v>
      </c>
      <c r="R92" s="69" t="str">
        <f>IF(R90="","",IF(RTD("cqg.rtd",,"ContractData",A100,"Bid",,"T")="","",TEXT(RTD("cqg.rtd",,"ContractData",A100,"Bid",,"T"),$D$1)&amp;" "&amp;"B"))</f>
        <v/>
      </c>
      <c r="S92" s="69" t="str">
        <f>IF(S90="","",IF(RTD("cqg.rtd",,"ContractData",A101,"Bid",,"T")="","",TEXT(RTD("cqg.rtd",,"ContractData",A101,"Bid",,"T"),$D$1)&amp;" "&amp;"B"))</f>
        <v/>
      </c>
      <c r="T92" s="69" t="str">
        <f>IF(T90="","",IF(RTD("cqg.rtd",,"ContractData",A102,"Bid",,"T")="","",TEXT(RTD("cqg.rtd",,"ContractData",A102,"Bid",,"T"),$D$1)&amp;" "&amp;"B"))</f>
        <v>.25 B</v>
      </c>
      <c r="U92" s="69" t="str">
        <f>IF(U90="","",IF(RTD("cqg.rtd",,"ContractData",A103,"Bid",,"T")="","",TEXT(RTD("cqg.rtd",,"ContractData",A103,"Bid",,"T"),$D$1)&amp;" "&amp;"B"))</f>
        <v/>
      </c>
      <c r="V92" s="69" t="str">
        <f>IF(V90="","",IF(RTD("cqg.rtd",,"ContractData",A104,"Bid",,"T")="","",TEXT(RTD("cqg.rtd",,"ContractData",A104,"Bid",,"T"),$D$1)&amp;" "&amp;"B"))</f>
        <v/>
      </c>
    </row>
    <row r="93" spans="1:22" ht="15" customHeight="1" x14ac:dyDescent="0.3">
      <c r="A93" s="1" t="str">
        <f>IF(LEFT(RTD("cqg.rtd",,"ContractData",'CLE5'!J16, "Symbol"),3)="768",NA(),RTD("cqg.rtd",,"ContractData",'CLE5'!J16, "Symbol"))</f>
        <v>ZSES5X24</v>
      </c>
      <c r="B93" s="111" t="str">
        <f>IFERROR(LEFT(RIGHT(RTD("cqg.rtd", ,"ContractData",A93, "LongDescription",, "T"),13),3)&amp;" &amp; "&amp;LEFT(RIGHT(RTD("cqg.rtd", ,"ContractData",A93, "LongDescription",, "T"),4),3),"")</f>
        <v>X24 &amp; Q25</v>
      </c>
      <c r="C93" s="40" t="str">
        <f>IF(B93="","",TEXT(RTD("cqg.rtd", ,"ContractData",A93, "Open",,"T"),$D$1))</f>
        <v/>
      </c>
      <c r="D93" s="40" t="str">
        <f>IF(B93="","",TEXT(RTD("cqg.rtd",,"ContractData",A93,"High",,"T"),$D$1))</f>
        <v/>
      </c>
      <c r="E93" s="40" t="str">
        <f>IF(B93="","",TEXT(RTD("cqg.rtd", ,"ContractData",A93, "Low",,"T"),$D$1))</f>
        <v/>
      </c>
      <c r="F93" s="40" t="str">
        <f>IF(B93="","",TEXT(RTD("cqg.rtd",,"ContractData",A93,"LastTradeorSettle",,"T"),$D$1))</f>
        <v/>
      </c>
      <c r="G93" s="74" t="e">
        <f>IF(B93="","",TEXT(RTD("cqg.rtd",,"ContractData",A93,"NetLastTradeToday",,"T"),$D$1)*1)</f>
        <v>#VALUE!</v>
      </c>
      <c r="H93" s="75" t="str">
        <f>IFERROR(IF(B93="","",TEXT(RTD("cqg.rtd",,"ContractData",A93,"NetLastTradeToday",,"T"),$D$1)*1),"")</f>
        <v/>
      </c>
      <c r="I93" s="41">
        <f>IF(B93="","",RTD("cqg.rtd", ,"ContractData",A93, "T_CVol"))</f>
        <v>0</v>
      </c>
      <c r="J93" s="42"/>
      <c r="K93" s="76" t="str">
        <f>IF(K90="","",IF(RTD("cqg.rtd",,"StudyData",A93,  "Bar",, "Close", "D",,,,,,"T")="","",TEXT(RTD("cqg.rtd",,"StudyData",A93,  "Bar",, "Close", "D",,,,,,"T"),$D$1)&amp;" "&amp;"L"))</f>
        <v/>
      </c>
      <c r="L93" s="76" t="str">
        <f>IF(L90="","",IF(RTD("cqg.rtd",,"StudyData",A94,  "Bar",, "Close", "D",,,,,,"T")="","",TEXT(RTD("cqg.rtd",,"StudyData",A94,  "Bar",, "Close", "D",,,,,,"T"),$D$1)&amp;" "&amp;"L"))</f>
        <v>-18.00 L</v>
      </c>
      <c r="M93" s="69" t="str">
        <f>IF(M90="","",IF(RTD("cqg.rtd",,"StudyData",A95,  "Bar",, "Close", "D",,,,,,"T")="","",TEXT(RTD("cqg.rtd",,"StudyData",A95,  "Bar",, "Close", "D",,,,,,"T"),$D$1)&amp;" "&amp;"L"))</f>
        <v>-4.00 L</v>
      </c>
      <c r="N93" s="69" t="str">
        <f>IF(N90="","",IF(RTD("cqg.rtd",,"StudyData",A96,  "Bar",, "Close", "D",,,,,,"T")="","",TEXT(RTD("cqg.rtd",,"StudyData",A96,  "Bar",, "Close", "D",,,,,,"T"),$D$1)&amp;" "&amp;"L"))</f>
        <v>-.75 L</v>
      </c>
      <c r="O93" s="69" t="str">
        <f>IF(O90="","",IF(RTD("cqg.rtd",,"StudyData",A97,  "Bar",, "Close", "D",,,,,,"T")="","",TEXT(RTD("cqg.rtd",,"StudyData",A97,  "Bar",, "Close", "D",,,,,,"T"),$D$1)&amp;" "&amp;"L"))</f>
        <v/>
      </c>
      <c r="P93" s="69" t="str">
        <f>IF(P90="","",IF(RTD("cqg.rtd",,"StudyData",A98,  "Bar",, "Close", "D",,,,,,"T")="","",TEXT(RTD("cqg.rtd",,"StudyData",A98,  "Bar",, "Close", "D",,,,,,"T"),$D$1)&amp;" "&amp;"L"))</f>
        <v/>
      </c>
      <c r="Q93" s="69" t="str">
        <f>IF(Q90="","",IF(RTD("cqg.rtd",,"StudyData",A99,  "Bar",, "Close", "D",,,,,,"T")="","",TEXT(RTD("cqg.rtd",,"StudyData",A99,  "Bar",, "Close", "D",,,,,,"T"),$D$1)&amp;" "&amp;"L"))</f>
        <v/>
      </c>
      <c r="R93" s="69" t="str">
        <f>IF(R90="","",IF(RTD("cqg.rtd",,"StudyData",A100,  "Bar",, "Close", "D",,,,,,"T")="","",TEXT(RTD("cqg.rtd",,"StudyData",A100,  "Bar",, "Close", "D",,,,,,"T"),$D$1)&amp;" "&amp;"L"))</f>
        <v/>
      </c>
      <c r="S93" s="69" t="str">
        <f>IF(S90="","",IF(RTD("cqg.rtd",,"StudyData",A101,  "Bar",, "Close", "D",,,,,,"T")="","",TEXT(RTD("cqg.rtd",,"StudyData",A101,  "Bar",, "Close", "D",,,,,,"T"),$D$1)&amp;" "&amp;"L"))</f>
        <v/>
      </c>
      <c r="T93" s="69" t="str">
        <f>IF(T90="","",IF(RTD("cqg.rtd",,"StudyData",A102,  "Bar",, "Close", "D",,,,,,"T")="","",TEXT(RTD("cqg.rtd",,"StudyData",A102,  "Bar",, "Close", "D",,,,,,"T"),$D$1)&amp;" "&amp;"L"))</f>
        <v/>
      </c>
      <c r="U93" s="69" t="str">
        <f>IF(U90="","",IF(RTD("cqg.rtd",,"StudyData",A103,  "Bar",, "Close", "D",,,,,,"T")="","",TEXT(RTD("cqg.rtd",,"StudyData",A103,  "Bar",, "Close", "D",,,,,,"T"),$D$1)&amp;" "&amp;"L"))</f>
        <v/>
      </c>
      <c r="V93" s="69" t="str">
        <f>IF(V90="","",IF(RTD("cqg.rtd",,"StudyData",A104,  "Bar",, "Close", "D",,,,,,"T")="","",TEXT(RTD("cqg.rtd",,"StudyData",A104,  "Bar",, "Close", "D",,,,,,"T"),$D$1)&amp;" "&amp;"L"))</f>
        <v/>
      </c>
    </row>
    <row r="94" spans="1:22" ht="15" customHeight="1" x14ac:dyDescent="0.3">
      <c r="A94" s="1" t="str">
        <f>IF(LEFT(RTD("cqg.rtd",,"ContractData",'CLE5'!J17, "Symbol"),3)="768",NA(),RTD("cqg.rtd",,"ContractData",'CLE5'!J17, "Symbol"))</f>
        <v>ZSES5F25</v>
      </c>
      <c r="B94" s="111" t="str">
        <f>IFERROR(LEFT(RIGHT(RTD("cqg.rtd", ,"ContractData",A94, "LongDescription",, "T"),13),3)&amp;" &amp; "&amp;LEFT(RIGHT(RTD("cqg.rtd", ,"ContractData",A94, "LongDescription",, "T"),4),3),"")</f>
        <v>F25 &amp; U25</v>
      </c>
      <c r="C94" s="40" t="str">
        <f>IF(B94="","",TEXT(RTD("cqg.rtd", ,"ContractData",A94, "Open",,"T"),$D$1))</f>
        <v>-17.00</v>
      </c>
      <c r="D94" s="40" t="str">
        <f>IF(B94="","",TEXT(RTD("cqg.rtd",,"ContractData",A94,"High",,"T"),$D$1))</f>
        <v>-17.00</v>
      </c>
      <c r="E94" s="40" t="str">
        <f>IF(B94="","",TEXT(RTD("cqg.rtd", ,"ContractData",A94, "Low",,"T"),$D$1))</f>
        <v>-19.25</v>
      </c>
      <c r="F94" s="40" t="str">
        <f>IF(B94="","",TEXT(RTD("cqg.rtd",,"ContractData",A94,"LastTradeorSettle",,"T"),$D$1))</f>
        <v>-18.00</v>
      </c>
      <c r="G94" s="74">
        <f>IF(B94="","",TEXT(RTD("cqg.rtd",,"ContractData",A94,"NetLastTradeToday",,"T"),$D$1)*1)</f>
        <v>5.75</v>
      </c>
      <c r="H94" s="75">
        <f>IFERROR(IF(B94="","",TEXT(RTD("cqg.rtd",,"ContractData",A94,"NetLastTradeToday",,"T"),$D$1)*1),"")</f>
        <v>5.75</v>
      </c>
      <c r="I94" s="41">
        <f>IF(B94="","",RTD("cqg.rtd", ,"ContractData",A94, "T_CVol"))</f>
        <v>75</v>
      </c>
      <c r="J94" s="42"/>
      <c r="K94" s="81"/>
      <c r="L94" s="81"/>
      <c r="M94" s="81"/>
      <c r="N94" s="81"/>
      <c r="O94" s="81"/>
      <c r="P94" s="81"/>
      <c r="Q94" s="81"/>
      <c r="R94" s="82"/>
      <c r="V94" s="91"/>
    </row>
    <row r="95" spans="1:22" ht="15" customHeight="1" x14ac:dyDescent="0.3">
      <c r="A95" s="1" t="str">
        <f>IF(LEFT(RTD("cqg.rtd",,"ContractData",'CLE5'!J18, "Symbol"),3)="768",NA(),RTD("cqg.rtd",,"ContractData",'CLE5'!J18, "Symbol"))</f>
        <v>ZSES5H25</v>
      </c>
      <c r="B95" s="111" t="str">
        <f>IFERROR(LEFT(RIGHT(RTD("cqg.rtd", ,"ContractData",A95, "LongDescription",, "T"),13),3)&amp;" &amp; "&amp;LEFT(RIGHT(RTD("cqg.rtd", ,"ContractData",A95, "LongDescription",, "T"),4),3),"")</f>
        <v>H25 &amp; X25</v>
      </c>
      <c r="C95" s="40" t="str">
        <f>IF(B95="","",TEXT(RTD("cqg.rtd", ,"ContractData",A95, "Open",,"T"),$D$1))</f>
        <v>-7.25</v>
      </c>
      <c r="D95" s="40" t="str">
        <f>IF(B95="","",TEXT(RTD("cqg.rtd",,"ContractData",A95,"High",,"T"),$D$1))</f>
        <v>-.50</v>
      </c>
      <c r="E95" s="40" t="str">
        <f>IF(B95="","",TEXT(RTD("cqg.rtd", ,"ContractData",A95, "Low",,"T"),$D$1))</f>
        <v>-7.50</v>
      </c>
      <c r="F95" s="40" t="str">
        <f>IF(B95="","",TEXT(RTD("cqg.rtd",,"ContractData",A95,"LastTradeorSettle",,"T"),$D$1))</f>
        <v>-4.00</v>
      </c>
      <c r="G95" s="74">
        <f>IF(B95="","",TEXT(RTD("cqg.rtd",,"ContractData",A95,"NetLastTradeToday",,"T"),$D$1)*1)</f>
        <v>5</v>
      </c>
      <c r="H95" s="75">
        <f>IFERROR(IF(B95="","",TEXT(RTD("cqg.rtd",,"ContractData",A95,"NetLastTradeToday",,"T"),$D$1)*1),"")</f>
        <v>5</v>
      </c>
      <c r="I95" s="41">
        <f>IF(B95="","",RTD("cqg.rtd", ,"ContractData",A95, "T_CVol"))</f>
        <v>617</v>
      </c>
      <c r="J95" s="42"/>
      <c r="K95" s="81"/>
      <c r="L95" s="81"/>
      <c r="M95" s="81"/>
      <c r="N95" s="81"/>
      <c r="O95" s="81"/>
      <c r="P95" s="81"/>
      <c r="Q95" s="81"/>
      <c r="R95" s="82"/>
      <c r="V95" s="91"/>
    </row>
    <row r="96" spans="1:22" ht="15" customHeight="1" x14ac:dyDescent="0.3">
      <c r="A96" s="1" t="str">
        <f>IF(LEFT(RTD("cqg.rtd",,"ContractData",'CLE5'!J19, "Symbol"),3)="768",NA(),RTD("cqg.rtd",,"ContractData",'CLE5'!J19, "Symbol"))</f>
        <v>ZSES5K25</v>
      </c>
      <c r="B96" s="111" t="str">
        <f>IFERROR(LEFT(RIGHT(RTD("cqg.rtd", ,"ContractData",A96, "LongDescription",, "T"),13),3)&amp;" &amp; "&amp;LEFT(RIGHT(RTD("cqg.rtd", ,"ContractData",A96, "LongDescription",, "T"),4),3),"")</f>
        <v>K25 &amp; F26</v>
      </c>
      <c r="C96" s="40" t="str">
        <f>IF(B96="","",TEXT(RTD("cqg.rtd", ,"ContractData",A96, "Open",,"T"),$D$1))</f>
        <v>-3.25</v>
      </c>
      <c r="D96" s="40" t="str">
        <f>IF(B96="","",TEXT(RTD("cqg.rtd",,"ContractData",A96,"High",,"T"),$D$1))</f>
        <v>1.50</v>
      </c>
      <c r="E96" s="40" t="str">
        <f>IF(B96="","",TEXT(RTD("cqg.rtd", ,"ContractData",A96, "Low",,"T"),$D$1))</f>
        <v>-3.25</v>
      </c>
      <c r="F96" s="40" t="str">
        <f>IF(B96="","",TEXT(RTD("cqg.rtd",,"ContractData",A96,"LastTradeorSettle",,"T"),$D$1))</f>
        <v>-.75</v>
      </c>
      <c r="G96" s="74">
        <f>IF(B96="","",TEXT(RTD("cqg.rtd",,"ContractData",A96,"NetLastTradeToday",,"T"),$D$1)*1)</f>
        <v>4.25</v>
      </c>
      <c r="H96" s="75">
        <f>IFERROR(IF(B96="","",TEXT(RTD("cqg.rtd",,"ContractData",A96,"NetLastTradeToday",,"T"),$D$1)*1),"")</f>
        <v>4.25</v>
      </c>
      <c r="I96" s="41">
        <f>IF(B96="","",RTD("cqg.rtd", ,"ContractData",A96, "T_CVol"))</f>
        <v>3</v>
      </c>
      <c r="J96" s="42"/>
      <c r="K96" s="81"/>
      <c r="L96" s="81"/>
      <c r="M96" s="81"/>
      <c r="N96" s="81"/>
      <c r="O96" s="81"/>
      <c r="P96" s="81"/>
      <c r="Q96" s="81"/>
      <c r="R96" s="82"/>
      <c r="V96" s="91"/>
    </row>
    <row r="97" spans="1:22" ht="15" customHeight="1" x14ac:dyDescent="0.3">
      <c r="A97" s="1" t="str">
        <f>IF(LEFT(RTD("cqg.rtd",,"ContractData",'CLE5'!J20, "Symbol"),3)="768",NA(),RTD("cqg.rtd",,"ContractData",'CLE5'!J20, "Symbol"))</f>
        <v>ZSES5N25</v>
      </c>
      <c r="B97" s="111" t="str">
        <f>IFERROR(LEFT(RIGHT(RTD("cqg.rtd", ,"ContractData",A97, "LongDescription",, "T"),13),3)&amp;" &amp; "&amp;LEFT(RIGHT(RTD("cqg.rtd", ,"ContractData",A97, "LongDescription",, "T"),4),3),"")</f>
        <v>N25 &amp; H26</v>
      </c>
      <c r="C97" s="40" t="str">
        <f>IF(B97="","",TEXT(RTD("cqg.rtd", ,"ContractData",A97, "Open",,"T"),$D$1))</f>
        <v/>
      </c>
      <c r="D97" s="40" t="str">
        <f>IF(B97="","",TEXT(RTD("cqg.rtd",,"ContractData",A97,"High",,"T"),$D$1))</f>
        <v/>
      </c>
      <c r="E97" s="40" t="str">
        <f>IF(B97="","",TEXT(RTD("cqg.rtd", ,"ContractData",A97, "Low",,"T"),$D$1))</f>
        <v/>
      </c>
      <c r="F97" s="40" t="str">
        <f>IF(B97="","",TEXT(RTD("cqg.rtd",,"ContractData",A97,"LastTradeorSettle",,"T"),$D$1))</f>
        <v/>
      </c>
      <c r="G97" s="74" t="e">
        <f>IF(B97="","",TEXT(RTD("cqg.rtd",,"ContractData",A97,"NetLastTradeToday",,"T"),$D$1)*1)</f>
        <v>#VALUE!</v>
      </c>
      <c r="H97" s="75" t="str">
        <f>IFERROR(IF(B97="","",TEXT(RTD("cqg.rtd",,"ContractData",A97,"NetLastTradeToday",,"T"),$D$1)*1),"")</f>
        <v/>
      </c>
      <c r="I97" s="41">
        <f>IF(B97="","",RTD("cqg.rtd", ,"ContractData",A97, "T_CVol"))</f>
        <v>0</v>
      </c>
      <c r="J97" s="42"/>
      <c r="K97" s="81"/>
      <c r="L97" s="81"/>
      <c r="M97" s="81"/>
      <c r="N97" s="81"/>
      <c r="O97" s="81"/>
      <c r="P97" s="81"/>
      <c r="Q97" s="81"/>
      <c r="R97" s="82"/>
      <c r="V97" s="91"/>
    </row>
    <row r="98" spans="1:22" ht="15" customHeight="1" x14ac:dyDescent="0.3">
      <c r="A98" s="1" t="str">
        <f>IF(LEFT(RTD("cqg.rtd",,"ContractData",'CLE5'!J21, "Symbol"),3)="768",NA(),RTD("cqg.rtd",,"ContractData",'CLE5'!J21, "Symbol"))</f>
        <v>ZSES5Q25</v>
      </c>
      <c r="B98" s="111" t="str">
        <f>IFERROR(LEFT(RIGHT(RTD("cqg.rtd", ,"ContractData",A98, "LongDescription",, "T"),13),3)&amp;" &amp; "&amp;LEFT(RIGHT(RTD("cqg.rtd", ,"ContractData",A98, "LongDescription",, "T"),4),3),"")</f>
        <v>Q25 &amp; K26</v>
      </c>
      <c r="C98" s="40" t="str">
        <f>IF(B98="","",TEXT(RTD("cqg.rtd", ,"ContractData",A98, "Open",,"T"),$D$1))</f>
        <v/>
      </c>
      <c r="D98" s="40" t="str">
        <f>IF(B98="","",TEXT(RTD("cqg.rtd",,"ContractData",A98,"High",,"T"),$D$1))</f>
        <v/>
      </c>
      <c r="E98" s="40" t="str">
        <f>IF(B98="","",TEXT(RTD("cqg.rtd", ,"ContractData",A98, "Low",,"T"),$D$1))</f>
        <v/>
      </c>
      <c r="F98" s="40" t="str">
        <f>IF(B98="","",TEXT(RTD("cqg.rtd",,"ContractData",A98,"LastTradeorSettle",,"T"),$D$1))</f>
        <v/>
      </c>
      <c r="G98" s="74" t="e">
        <f>IF(B98="","",TEXT(RTD("cqg.rtd",,"ContractData",A98,"NetLastTradeToday",,"T"),$D$1)*1)</f>
        <v>#VALUE!</v>
      </c>
      <c r="H98" s="75" t="str">
        <f>IFERROR(IF(B98="","",TEXT(RTD("cqg.rtd",,"ContractData",A98,"NetLastTradeToday",,"T"),$D$1)*1),"")</f>
        <v/>
      </c>
      <c r="I98" s="41">
        <f>IF(B98="","",RTD("cqg.rtd", ,"ContractData",A98, "T_CVol"))</f>
        <v>0</v>
      </c>
      <c r="J98" s="42"/>
      <c r="K98" s="81"/>
      <c r="L98" s="81"/>
      <c r="M98" s="81"/>
      <c r="N98" s="81"/>
      <c r="O98" s="81"/>
      <c r="P98" s="81"/>
      <c r="Q98" s="81"/>
      <c r="R98" s="82"/>
      <c r="V98" s="91"/>
    </row>
    <row r="99" spans="1:22" ht="15" customHeight="1" x14ac:dyDescent="0.3">
      <c r="A99" s="1" t="str">
        <f>IF(LEFT(RTD("cqg.rtd",,"ContractData",'CLE5'!J22, "Symbol"),3)="768",NA(),RTD("cqg.rtd",,"ContractData",'CLE5'!J22, "Symbol"))</f>
        <v>ZSES5U25</v>
      </c>
      <c r="B99" s="111" t="str">
        <f>IFERROR(LEFT(RIGHT(RTD("cqg.rtd", ,"ContractData",A99, "LongDescription",, "T"),13),3)&amp;" &amp; "&amp;LEFT(RIGHT(RTD("cqg.rtd", ,"ContractData",A99, "LongDescription",, "T"),4),3),"")</f>
        <v>U25 &amp; N26</v>
      </c>
      <c r="C99" s="40" t="str">
        <f>IF(B99="","",TEXT(RTD("cqg.rtd", ,"ContractData",A99, "Open",,"T"),$D$1))</f>
        <v/>
      </c>
      <c r="D99" s="40" t="str">
        <f>IF(B99="","",TEXT(RTD("cqg.rtd",,"ContractData",A99,"High",,"T"),$D$1))</f>
        <v/>
      </c>
      <c r="E99" s="40" t="str">
        <f>IF(B99="","",TEXT(RTD("cqg.rtd", ,"ContractData",A99, "Low",,"T"),$D$1))</f>
        <v/>
      </c>
      <c r="F99" s="40" t="str">
        <f>IF(B99="","",TEXT(RTD("cqg.rtd",,"ContractData",A99,"LastTradeorSettle",,"T"),$D$1))</f>
        <v/>
      </c>
      <c r="G99" s="74" t="e">
        <f>IF(B99="","",TEXT(RTD("cqg.rtd",,"ContractData",A99,"NetLastTradeToday",,"T"),$D$1)*1)</f>
        <v>#VALUE!</v>
      </c>
      <c r="H99" s="75" t="str">
        <f>IFERROR(IF(B99="","",TEXT(RTD("cqg.rtd",,"ContractData",A99,"NetLastTradeToday",,"T"),$D$1)*1),"")</f>
        <v/>
      </c>
      <c r="I99" s="41">
        <f>IF(B99="","",RTD("cqg.rtd", ,"ContractData",A99, "T_CVol"))</f>
        <v>0</v>
      </c>
      <c r="J99" s="42"/>
      <c r="K99" s="81"/>
      <c r="L99" s="81"/>
      <c r="M99" s="81"/>
      <c r="N99" s="81"/>
      <c r="O99" s="81"/>
      <c r="P99" s="81"/>
      <c r="Q99" s="81"/>
      <c r="R99" s="82"/>
      <c r="V99" s="91"/>
    </row>
    <row r="100" spans="1:22" ht="15" customHeight="1" x14ac:dyDescent="0.3">
      <c r="A100" s="1" t="str">
        <f>IF(LEFT(RTD("cqg.rtd",,"ContractData",'CLE5'!J23, "Symbol"),3)="768",NA(),RTD("cqg.rtd",,"ContractData",'CLE5'!J23, "Symbol"))</f>
        <v>ZSES5X25</v>
      </c>
      <c r="B100" s="111" t="str">
        <f>IFERROR(LEFT(RIGHT(RTD("cqg.rtd", ,"ContractData",A100, "LongDescription",, "T"),13),3)&amp;" &amp; "&amp;LEFT(RIGHT(RTD("cqg.rtd", ,"ContractData",A100, "LongDescription",, "T"),4),3),"")</f>
        <v>X25 &amp; Q26</v>
      </c>
      <c r="C100" s="40" t="str">
        <f>IF(B100="","",TEXT(RTD("cqg.rtd", ,"ContractData",A100, "Open",,"T"),$D$1))</f>
        <v/>
      </c>
      <c r="D100" s="40" t="str">
        <f>IF(B100="","",TEXT(RTD("cqg.rtd",,"ContractData",A100,"High",,"T"),$D$1))</f>
        <v/>
      </c>
      <c r="E100" s="40" t="str">
        <f>IF(B100="","",TEXT(RTD("cqg.rtd", ,"ContractData",A100, "Low",,"T"),$D$1))</f>
        <v/>
      </c>
      <c r="F100" s="40" t="str">
        <f>IF(B100="","",TEXT(RTD("cqg.rtd",,"ContractData",A100,"LastTradeorSettle",,"T"),$D$1))</f>
        <v/>
      </c>
      <c r="G100" s="74" t="e">
        <f>IF(B100="","",TEXT(RTD("cqg.rtd",,"ContractData",A100,"NetLastTradeToday",,"T"),$D$1)*1)</f>
        <v>#VALUE!</v>
      </c>
      <c r="H100" s="75" t="str">
        <f>IFERROR(IF(B100="","",TEXT(RTD("cqg.rtd",,"ContractData",A100,"NetLastTradeToday",,"T"),$D$1)*1),"")</f>
        <v/>
      </c>
      <c r="I100" s="41">
        <f>IF(B100="","",RTD("cqg.rtd", ,"ContractData",A100, "T_CVol"))</f>
        <v>0</v>
      </c>
      <c r="J100" s="42"/>
      <c r="K100" s="81"/>
      <c r="L100" s="81"/>
      <c r="M100" s="81"/>
      <c r="N100" s="81"/>
      <c r="O100" s="81"/>
      <c r="P100" s="81"/>
      <c r="Q100" s="81"/>
      <c r="R100" s="82"/>
      <c r="V100" s="91"/>
    </row>
    <row r="101" spans="1:22" ht="15" customHeight="1" x14ac:dyDescent="0.3">
      <c r="A101" s="1" t="str">
        <f>IF(LEFT(RTD("cqg.rtd",,"ContractData",'CLE5'!J24, "Symbol"),3)="768",NA(),RTD("cqg.rtd",,"ContractData",'CLE5'!J24, "Symbol"))</f>
        <v>ZSES5F26</v>
      </c>
      <c r="B101" s="111" t="str">
        <f>IFERROR(LEFT(RIGHT(RTD("cqg.rtd", ,"ContractData",A101, "LongDescription",, "T"),13),3)&amp;" &amp; "&amp;LEFT(RIGHT(RTD("cqg.rtd", ,"ContractData",A101, "LongDescription",, "T"),4),3),"")</f>
        <v>F26 &amp; U26</v>
      </c>
      <c r="C101" s="40" t="str">
        <f>IF(B101="","",TEXT(RTD("cqg.rtd", ,"ContractData",A101, "Open",,"T"),$D$1))</f>
        <v/>
      </c>
      <c r="D101" s="40" t="str">
        <f>IF(B101="","",TEXT(RTD("cqg.rtd",,"ContractData",A101,"High",,"T"),$D$1))</f>
        <v/>
      </c>
      <c r="E101" s="40" t="str">
        <f>IF(B101="","",TEXT(RTD("cqg.rtd", ,"ContractData",A101, "Low",,"T"),$D$1))</f>
        <v/>
      </c>
      <c r="F101" s="40" t="str">
        <f>IF(B101="","",TEXT(RTD("cqg.rtd",,"ContractData",A101,"LastTradeorSettle",,"T"),$D$1))</f>
        <v/>
      </c>
      <c r="G101" s="74" t="e">
        <f>IF(B101="","",TEXT(RTD("cqg.rtd",,"ContractData",A101,"NetLastTradeToday",,"T"),$D$1)*1)</f>
        <v>#VALUE!</v>
      </c>
      <c r="H101" s="75" t="str">
        <f>IFERROR(IF(B101="","",TEXT(RTD("cqg.rtd",,"ContractData",A101,"NetLastTradeToday",,"T"),$D$1)*1),"")</f>
        <v/>
      </c>
      <c r="I101" s="41">
        <f>IF(B101="","",RTD("cqg.rtd", ,"ContractData",A101, "T_CVol"))</f>
        <v>0</v>
      </c>
      <c r="J101" s="42"/>
      <c r="K101" s="81"/>
      <c r="L101" s="81"/>
      <c r="M101" s="81"/>
      <c r="N101" s="81"/>
      <c r="O101" s="81"/>
      <c r="P101" s="81"/>
      <c r="Q101" s="81"/>
      <c r="R101" s="82"/>
      <c r="V101" s="91"/>
    </row>
    <row r="102" spans="1:22" ht="15" customHeight="1" x14ac:dyDescent="0.3">
      <c r="A102" s="1" t="str">
        <f>IF(LEFT(RTD("cqg.rtd",,"ContractData",'CLE5'!J25, "Symbol"),3)="768",NA(),RTD("cqg.rtd",,"ContractData",'CLE5'!J25, "Symbol"))</f>
        <v>ZSES5H26</v>
      </c>
      <c r="B102" s="111" t="str">
        <f>IFERROR(LEFT(RIGHT(RTD("cqg.rtd", ,"ContractData",A102, "LongDescription",, "T"),13),3)&amp;" &amp; "&amp;LEFT(RIGHT(RTD("cqg.rtd", ,"ContractData",A102, "LongDescription",, "T"),4),3),"")</f>
        <v>H26 &amp; X26</v>
      </c>
      <c r="C102" s="40" t="str">
        <f>IF(B102="","",TEXT(RTD("cqg.rtd", ,"ContractData",A102, "Open",,"T"),$D$1))</f>
        <v/>
      </c>
      <c r="D102" s="40" t="str">
        <f>IF(B102="","",TEXT(RTD("cqg.rtd",,"ContractData",A102,"High",,"T"),$D$1))</f>
        <v/>
      </c>
      <c r="E102" s="40" t="str">
        <f>IF(B102="","",TEXT(RTD("cqg.rtd", ,"ContractData",A102, "Low",,"T"),$D$1))</f>
        <v/>
      </c>
      <c r="F102" s="40" t="str">
        <f>IF(B102="","",TEXT(RTD("cqg.rtd",,"ContractData",A102,"LastTradeorSettle",,"T"),$D$1))</f>
        <v/>
      </c>
      <c r="G102" s="74" t="e">
        <f>IF(B102="","",TEXT(RTD("cqg.rtd",,"ContractData",A102,"NetLastTradeToday",,"T"),$D$1)*1)</f>
        <v>#VALUE!</v>
      </c>
      <c r="H102" s="75" t="str">
        <f>IFERROR(IF(B102="","",TEXT(RTD("cqg.rtd",,"ContractData",A102,"NetLastTradeToday",,"T"),$D$1)*1),"")</f>
        <v/>
      </c>
      <c r="I102" s="41">
        <f>IF(B102="","",RTD("cqg.rtd", ,"ContractData",A102, "T_CVol"))</f>
        <v>0</v>
      </c>
      <c r="J102" s="42"/>
      <c r="K102" s="81"/>
      <c r="L102" s="81"/>
      <c r="M102" s="81"/>
      <c r="N102" s="81"/>
      <c r="O102" s="81"/>
      <c r="P102" s="81"/>
      <c r="Q102" s="81"/>
      <c r="R102" s="82"/>
      <c r="V102" s="91"/>
    </row>
    <row r="103" spans="1:22" ht="15" customHeight="1" x14ac:dyDescent="0.3">
      <c r="A103" s="1" t="str">
        <f>IF(LEFT(RTD("cqg.rtd",,"ContractData",'CLE5'!J26, "Symbol"),3)="768",NA(),RTD("cqg.rtd",,"ContractData",'CLE5'!J26, "Symbol"))</f>
        <v>ZSES5K26</v>
      </c>
      <c r="B103" s="111" t="str">
        <f>IFERROR(LEFT(RIGHT(RTD("cqg.rtd", ,"ContractData",A103, "LongDescription",, "T"),13),3)&amp;" &amp; "&amp;LEFT(RIGHT(RTD("cqg.rtd", ,"ContractData",A103, "LongDescription",, "T"),4),3),"")</f>
        <v>K26 &amp; F27</v>
      </c>
      <c r="C103" s="40" t="str">
        <f>IF(B103="","",TEXT(RTD("cqg.rtd", ,"ContractData",A103, "Open",,"T"),$D$1))</f>
        <v/>
      </c>
      <c r="D103" s="40" t="str">
        <f>IF(B103="","",TEXT(RTD("cqg.rtd",,"ContractData",A103,"High",,"T"),$D$1))</f>
        <v/>
      </c>
      <c r="E103" s="40" t="str">
        <f>IF(B103="","",TEXT(RTD("cqg.rtd", ,"ContractData",A103, "Low",,"T"),$D$1))</f>
        <v/>
      </c>
      <c r="F103" s="40" t="str">
        <f>IF(B103="","",TEXT(RTD("cqg.rtd",,"ContractData",A103,"LastTradeorSettle",,"T"),$D$1))</f>
        <v/>
      </c>
      <c r="G103" s="74" t="e">
        <f>IF(B103="","",TEXT(RTD("cqg.rtd",,"ContractData",A103,"NetLastTradeToday",,"T"),$D$1)*1)</f>
        <v>#VALUE!</v>
      </c>
      <c r="H103" s="75" t="str">
        <f>IFERROR(IF(B103="","",TEXT(RTD("cqg.rtd",,"ContractData",A103,"NetLastTradeToday",,"T"),$D$1)*1),"")</f>
        <v/>
      </c>
      <c r="I103" s="41">
        <f>IF(B103="","",RTD("cqg.rtd", ,"ContractData",A103, "T_CVol"))</f>
        <v>0</v>
      </c>
      <c r="J103" s="42"/>
      <c r="K103" s="81"/>
      <c r="L103" s="81"/>
      <c r="M103" s="81"/>
      <c r="N103" s="81"/>
      <c r="O103" s="81"/>
      <c r="P103" s="81"/>
      <c r="Q103" s="81"/>
      <c r="R103" s="82"/>
      <c r="V103" s="91"/>
    </row>
    <row r="104" spans="1:22" ht="15" customHeight="1" x14ac:dyDescent="0.3">
      <c r="A104" s="1" t="str">
        <f>IF(LEFT(RTD("cqg.rtd",,"ContractData",'CLE5'!J27, "Symbol"),3)="768",NA(),RTD("cqg.rtd",,"ContractData",'CLE5'!J27, "Symbol"))</f>
        <v>ZSES5N26</v>
      </c>
      <c r="B104" s="111" t="str">
        <f>IFERROR(LEFT(RIGHT(RTD("cqg.rtd", ,"ContractData",A104, "LongDescription",, "T"),13),3)&amp;" &amp; "&amp;LEFT(RIGHT(RTD("cqg.rtd", ,"ContractData",A104, "LongDescription",, "T"),4),3),"")</f>
        <v>N26 &amp; H27</v>
      </c>
      <c r="C104" s="40" t="str">
        <f>IF(B104="","",TEXT(RTD("cqg.rtd", ,"ContractData",A104, "Open",,"T"),$D$1))</f>
        <v/>
      </c>
      <c r="D104" s="40" t="str">
        <f>IF(B104="","",TEXT(RTD("cqg.rtd",,"ContractData",A104,"High",,"T"),$D$1))</f>
        <v/>
      </c>
      <c r="E104" s="40" t="str">
        <f>IF(B104="","",TEXT(RTD("cqg.rtd", ,"ContractData",A104, "Low",,"T"),$D$1))</f>
        <v/>
      </c>
      <c r="F104" s="40" t="str">
        <f>IF(B104="","",TEXT(RTD("cqg.rtd",,"ContractData",A104,"LastTradeorSettle",,"T"),$D$1))</f>
        <v/>
      </c>
      <c r="G104" s="74" t="e">
        <f>IF(B104="","",TEXT(RTD("cqg.rtd",,"ContractData",A104,"NetLastTradeToday",,"T"),$D$1)*1)</f>
        <v>#VALUE!</v>
      </c>
      <c r="H104" s="75" t="str">
        <f>IFERROR(IF(B104="","",TEXT(RTD("cqg.rtd",,"ContractData",A104,"NetLastTradeToday",,"T"),$D$1)*1),"")</f>
        <v/>
      </c>
      <c r="I104" s="41">
        <f>IF(B104="","",RTD("cqg.rtd", ,"ContractData",A104, "T_CVol"))</f>
        <v>0</v>
      </c>
      <c r="J104" s="42"/>
      <c r="K104" s="81"/>
      <c r="L104" s="81"/>
      <c r="M104" s="81"/>
      <c r="N104" s="81"/>
      <c r="O104" s="81"/>
      <c r="P104" s="81"/>
      <c r="Q104" s="81"/>
      <c r="R104" s="82"/>
      <c r="V104" s="91"/>
    </row>
    <row r="105" spans="1:22" ht="12" customHeight="1" x14ac:dyDescent="0.3">
      <c r="B105" s="55"/>
      <c r="C105" s="56"/>
      <c r="D105" s="57"/>
      <c r="E105" s="58"/>
      <c r="F105" s="59"/>
      <c r="G105" s="58"/>
      <c r="H105" s="60"/>
      <c r="I105" s="58"/>
      <c r="J105" s="61"/>
      <c r="K105" s="81"/>
      <c r="L105" s="81"/>
      <c r="M105" s="81"/>
      <c r="N105" s="81"/>
      <c r="O105" s="81"/>
      <c r="P105" s="81"/>
      <c r="Q105" s="81"/>
      <c r="R105" s="82"/>
      <c r="V105" s="91"/>
    </row>
    <row r="106" spans="1:22" ht="15" customHeight="1" x14ac:dyDescent="0.2">
      <c r="B106" s="116" t="s">
        <v>44</v>
      </c>
      <c r="C106" s="117"/>
      <c r="D106" s="117"/>
      <c r="E106" s="117"/>
      <c r="F106" s="117"/>
      <c r="G106" s="117"/>
      <c r="H106" s="117"/>
      <c r="I106" s="117"/>
      <c r="J106" s="81"/>
      <c r="K106" s="67" t="str">
        <f>B109</f>
        <v>X24 &amp; U25</v>
      </c>
      <c r="L106" s="89" t="str">
        <f>B110</f>
        <v>F25 &amp; X25</v>
      </c>
      <c r="M106" s="89" t="str">
        <f>B111</f>
        <v>H25 &amp; F26</v>
      </c>
      <c r="N106" s="89" t="str">
        <f>B112</f>
        <v>K25 &amp; H26</v>
      </c>
      <c r="O106" s="89" t="str">
        <f>B113</f>
        <v>N25 &amp; K26</v>
      </c>
      <c r="P106" s="89" t="str">
        <f>B114</f>
        <v>Q25 &amp; N26</v>
      </c>
      <c r="Q106" s="20" t="str">
        <f>B115</f>
        <v>U25 &amp; Q26</v>
      </c>
      <c r="R106" s="20" t="str">
        <f>B116</f>
        <v>X25 &amp; U26</v>
      </c>
      <c r="S106" s="20" t="str">
        <f>B117</f>
        <v>F26 &amp; X26</v>
      </c>
      <c r="T106" s="20" t="str">
        <f>B118</f>
        <v>H26 &amp; F27</v>
      </c>
      <c r="U106" s="20" t="str">
        <f>B119</f>
        <v>K26 &amp; H27</v>
      </c>
      <c r="V106" s="20" t="str">
        <f>B120</f>
        <v>N26 &amp; K27</v>
      </c>
    </row>
    <row r="107" spans="1:22" ht="15" customHeight="1" x14ac:dyDescent="0.3">
      <c r="B107" s="118"/>
      <c r="C107" s="119"/>
      <c r="D107" s="119"/>
      <c r="E107" s="119"/>
      <c r="F107" s="119"/>
      <c r="G107" s="119"/>
      <c r="H107" s="119"/>
      <c r="I107" s="119"/>
      <c r="J107" s="81"/>
      <c r="K107" s="68" t="str">
        <f>IF(K106="","",IF(RTD("cqg.rtd",,"ContractData",A109,"Ask",,"T")="","",TEXT(RTD("cqg.rtd",,"ContractData",A109,"Ask",,"T"),$D$1)&amp;" "&amp;"A"))</f>
        <v>-28.50 A</v>
      </c>
      <c r="L107" s="22" t="str">
        <f>IF(L106="","",IF(RTD("cqg.rtd",,"ContractData",A110,"Ask",,"T")="","",TEXT(RTD("cqg.rtd",,"ContractData",A110,"Ask",,"T"),$D$1)&amp;" "&amp;"A"))</f>
        <v>-15.75 A</v>
      </c>
      <c r="M107" s="69" t="str">
        <f>IF(M106="","",IF(RTD("cqg.rtd",,"ContractData",A111,"Ask",,"T")="","",TEXT(RTD("cqg.rtd",,"ContractData",A111,"Ask",,"T"),$D$1)&amp;" "&amp;"A"))</f>
        <v>-12.75 A</v>
      </c>
      <c r="N107" s="69" t="str">
        <f>IF(N106="","",IF(RTD("cqg.rtd",,"ContractData",A112,"Ask",,"T")="","",TEXT(RTD("cqg.rtd",,"ContractData",A112,"Ask",,"T"),$D$1)&amp;" "&amp;"A"))</f>
        <v>.50 A</v>
      </c>
      <c r="O107" s="69" t="str">
        <f>IF(O106="","",IF(RTD("cqg.rtd",,"ContractData",A113,"Ask",,"T")="","",TEXT(RTD("cqg.rtd",,"ContractData",A113,"Ask",,"T"),$D$1)&amp;" "&amp;"A"))</f>
        <v>6.50 A</v>
      </c>
      <c r="P107" s="69" t="str">
        <f>IF(P106="","",IF(RTD("cqg.rtd",,"ContractData",A114,"Ask",,"T")="","",TEXT(RTD("cqg.rtd",,"ContractData",A114,"Ask",,"T"),$D$1)&amp;" "&amp;"A"))</f>
        <v>-2.75 A</v>
      </c>
      <c r="Q107" s="69" t="str">
        <f>IF(Q106="","",IF(RTD("cqg.rtd",,"ContractData",A115,"Ask",,"T")="","",TEXT(RTD("cqg.rtd",,"ContractData",A115,"Ask",,"T"),$D$1)&amp;" "&amp;"A"))</f>
        <v/>
      </c>
      <c r="R107" s="69" t="str">
        <f>IF(R106="","",IF(RTD("cqg.rtd",,"ContractData",A116,"Ask",,"T")="","",TEXT(RTD("cqg.rtd",,"ContractData",A116,"Ask",,"T"),$D$1)&amp;" "&amp;"A"))</f>
        <v>22.50 A</v>
      </c>
      <c r="S107" s="70" t="str">
        <f>IF(S106="","",IF(RTD("cqg.rtd",,"ContractData",A117,"Ask",,"T")="","",TEXT(RTD("cqg.rtd",,"ContractData",A117,"Ask",,"T"),$D$1)&amp;" "&amp;"A"))</f>
        <v>8.25 A</v>
      </c>
      <c r="T107" s="69" t="str">
        <f>IF(T106="","",IF(RTD("cqg.rtd",,"ContractData",A118,"Ask",,"T")="","",TEXT(RTD("cqg.rtd",,"ContractData",A118,"Ask",,"T"),$D$1)&amp;" "&amp;"A"))</f>
        <v/>
      </c>
      <c r="U107" s="69" t="str">
        <f>IF(U106="","",IF(RTD("cqg.rtd",,"ContractData",A119,"Ask",,"T")="","",TEXT(RTD("cqg.rtd",,"ContractData",A119,"Ask",,"T"),$D$1)&amp;" "&amp;"A"))</f>
        <v/>
      </c>
      <c r="V107" s="69" t="str">
        <f>IF(V106="","",IF(RTD("cqg.rtd",,"ContractData",A120,"Ask",,"T")="","",TEXT(RTD("cqg.rtd",,"ContractData",A120,"Ask",,"T"),$D$1)&amp;" "&amp;"A"))</f>
        <v/>
      </c>
    </row>
    <row r="108" spans="1:22" ht="15" customHeight="1" x14ac:dyDescent="0.3">
      <c r="B108" s="32" t="s">
        <v>16</v>
      </c>
      <c r="C108" s="33" t="s">
        <v>9</v>
      </c>
      <c r="D108" s="33" t="s">
        <v>10</v>
      </c>
      <c r="E108" s="33" t="s">
        <v>11</v>
      </c>
      <c r="F108" s="33" t="s">
        <v>8</v>
      </c>
      <c r="G108" s="33" t="s">
        <v>12</v>
      </c>
      <c r="H108" s="33" t="s">
        <v>12</v>
      </c>
      <c r="I108" s="71" t="s">
        <v>13</v>
      </c>
      <c r="J108" s="81"/>
      <c r="K108" s="73" t="str">
        <f>IF(K106="","",IF(RTD("cqg.rtd",,"ContractData",A109,"Bid",,"T")="","",TEXT(RTD("cqg.rtd",,"ContractData",A109,"Bid",,"T"),$D$1)&amp;" "&amp;"B"))</f>
        <v>-35.25 B</v>
      </c>
      <c r="L108" s="22" t="str">
        <f>IF(L106="","",IF(RTD("cqg.rtd",,"ContractData",A110,"Bid",,"T")="","",TEXT(RTD("cqg.rtd",,"ContractData",A110,"Bid",,"T"),$D$1)&amp;" "&amp;"B"))</f>
        <v>-16.00 B</v>
      </c>
      <c r="M108" s="69" t="str">
        <f>IF(M106="","",IF(RTD("cqg.rtd",,"ContractData",A111,"Bid",,"T")="","",TEXT(RTD("cqg.rtd",,"ContractData",A111,"Bid",,"T"),$D$1)&amp;" "&amp;"B"))</f>
        <v>-13.75 B</v>
      </c>
      <c r="N108" s="69" t="str">
        <f>IF(N106="","",IF(RTD("cqg.rtd",,"ContractData",A112,"Bid",,"T")="","",TEXT(RTD("cqg.rtd",,"ContractData",A112,"Bid",,"T"),$D$1)&amp;" "&amp;"B"))</f>
        <v>-1.00 B</v>
      </c>
      <c r="O108" s="69" t="str">
        <f>IF(O106="","",IF(RTD("cqg.rtd",,"ContractData",A113,"Bid",,"T")="","",TEXT(RTD("cqg.rtd",,"ContractData",A113,"Bid",,"T"),$D$1)&amp;" "&amp;"B"))</f>
        <v>4.25 B</v>
      </c>
      <c r="P108" s="69" t="str">
        <f>IF(P106="","",IF(RTD("cqg.rtd",,"ContractData",A114,"Bid",,"T")="","",TEXT(RTD("cqg.rtd",,"ContractData",A114,"Bid",,"T"),$D$1)&amp;" "&amp;"B"))</f>
        <v>-5.50 B</v>
      </c>
      <c r="Q108" s="69" t="str">
        <f>IF(Q106="","",IF(RTD("cqg.rtd",,"ContractData",A115,"Bid",,"T")="","",TEXT(RTD("cqg.rtd",,"ContractData",A115,"Bid",,"T"),$D$1)&amp;" "&amp;"B"))</f>
        <v/>
      </c>
      <c r="R108" s="69" t="str">
        <f>IF(R106="","",IF(RTD("cqg.rtd",,"ContractData",A116,"Bid",,"T")="","",TEXT(RTD("cqg.rtd",,"ContractData",A116,"Bid",,"T"),$D$1)&amp;" "&amp;"B"))</f>
        <v/>
      </c>
      <c r="S108" s="69" t="str">
        <f>IF(S106="","",IF(RTD("cqg.rtd",,"ContractData",A117,"Bid",,"T")="","",TEXT(RTD("cqg.rtd",,"ContractData",A117,"Bid",,"T"),$D$1)&amp;" "&amp;"B"))</f>
        <v>.75 B</v>
      </c>
      <c r="T108" s="69" t="str">
        <f>IF(T106="","",IF(RTD("cqg.rtd",,"ContractData",A118,"Bid",,"T")="","",TEXT(RTD("cqg.rtd",,"ContractData",A118,"Bid",,"T"),$D$1)&amp;" "&amp;"B"))</f>
        <v/>
      </c>
      <c r="U108" s="69" t="str">
        <f>IF(U106="","",IF(RTD("cqg.rtd",,"ContractData",A119,"Bid",,"T")="","",TEXT(RTD("cqg.rtd",,"ContractData",A119,"Bid",,"T"),$D$1)&amp;" "&amp;"B"))</f>
        <v/>
      </c>
      <c r="V108" s="69" t="str">
        <f>IF(V106="","",IF(RTD("cqg.rtd",,"ContractData",A120,"Bid",,"T")="","",TEXT(RTD("cqg.rtd",,"ContractData",A120,"Bid",,"T"),$D$1)&amp;" "&amp;"B"))</f>
        <v/>
      </c>
    </row>
    <row r="109" spans="1:22" ht="15" customHeight="1" x14ac:dyDescent="0.3">
      <c r="A109" s="1" t="str">
        <f>IF(LEFT(RTD("cqg.rtd",,"ContractData",'CLE6'!J16, "Symbol"),3)="768",NA(),RTD("cqg.rtd",,"ContractData",'CLE6'!J16, "Symbol"))</f>
        <v>ZSES6X24</v>
      </c>
      <c r="B109" s="111" t="str">
        <f>IFERROR(LEFT(RIGHT(RTD("cqg.rtd", ,"ContractData",A109, "LongDescription",, "T"),13),3)&amp;" &amp; "&amp;LEFT(RIGHT(RTD("cqg.rtd", ,"ContractData",A109, "LongDescription",, "T"),4),3),"")</f>
        <v>X24 &amp; U25</v>
      </c>
      <c r="C109" s="40" t="str">
        <f>IF(B109="","",TEXT(RTD("cqg.rtd", ,"ContractData",A109, "Open",,"T"),$D$1))</f>
        <v/>
      </c>
      <c r="D109" s="40" t="str">
        <f>IF(B109="","",TEXT(RTD("cqg.rtd",,"ContractData",A109,"High",,"T"),$D$1))</f>
        <v/>
      </c>
      <c r="E109" s="40" t="str">
        <f>IF(B109="","",TEXT(RTD("cqg.rtd", ,"ContractData",A109, "Low",,"T"),$D$1))</f>
        <v/>
      </c>
      <c r="F109" s="40" t="str">
        <f>IF(B109="","",TEXT(RTD("cqg.rtd",,"ContractData",A109,"LastTradeorSettle",,"T"),$D$1))</f>
        <v/>
      </c>
      <c r="G109" s="74" t="e">
        <f>IF(B109="","",TEXT(RTD("cqg.rtd",,"ContractData",A109,"NetLastTradeToday",,"T"),$D$1)*1)</f>
        <v>#VALUE!</v>
      </c>
      <c r="H109" s="75" t="str">
        <f>IFERROR(IF(B109="","",TEXT(RTD("cqg.rtd",,"ContractData",A109,"NetLastTradeToday",,"T"),$D$1)*1),"")</f>
        <v/>
      </c>
      <c r="I109" s="41">
        <f>IF(B109="","",RTD("cqg.rtd", ,"ContractData",A109, "T_CVol"))</f>
        <v>0</v>
      </c>
      <c r="J109" s="81"/>
      <c r="K109" s="76" t="str">
        <f>IF(K106="","",IF(RTD("cqg.rtd",,"StudyData",A109,  "Bar",, "Close", "D",,,,,,"T")="","",TEXT(RTD("cqg.rtd",,"StudyData",A109,  "Bar",, "Close", "D",,,,,,"T"),$D$1)&amp;" "&amp;"L"))</f>
        <v/>
      </c>
      <c r="L109" s="76" t="str">
        <f>IF(L106="","",IF(RTD("cqg.rtd",,"StudyData",A110,  "Bar",, "Close", "D",,,,,,"T")="","",TEXT(RTD("cqg.rtd",,"StudyData",A110,  "Bar",, "Close", "D",,,,,,"T"),$D$1)&amp;" "&amp;"L"))</f>
        <v>-15.75 L</v>
      </c>
      <c r="M109" s="69" t="str">
        <f>IF(M106="","",IF(RTD("cqg.rtd",,"StudyData",A111,  "Bar",, "Close", "D",,,,,,"T")="","",TEXT(RTD("cqg.rtd",,"StudyData",A111,  "Bar",, "Close", "D",,,,,,"T"),$D$1)&amp;" "&amp;"L"))</f>
        <v>-11.25 L</v>
      </c>
      <c r="N109" s="69" t="str">
        <f>IF(N106="","",IF(RTD("cqg.rtd",,"StudyData",A112,  "Bar",, "Close", "D",,,,,,"T")="","",TEXT(RTD("cqg.rtd",,"StudyData",A112,  "Bar",, "Close", "D",,,,,,"T"),$D$1)&amp;" "&amp;"L"))</f>
        <v>-2.50 L</v>
      </c>
      <c r="O109" s="69" t="str">
        <f>IF(O106="","",IF(RTD("cqg.rtd",,"StudyData",A113,  "Bar",, "Close", "D",,,,,,"T")="","",TEXT(RTD("cqg.rtd",,"StudyData",A113,  "Bar",, "Close", "D",,,,,,"T"),$D$1)&amp;" "&amp;"L"))</f>
        <v/>
      </c>
      <c r="P109" s="69" t="str">
        <f>IF(P106="","",IF(RTD("cqg.rtd",,"StudyData",A114,  "Bar",, "Close", "D",,,,,,"T")="","",TEXT(RTD("cqg.rtd",,"StudyData",A114,  "Bar",, "Close", "D",,,,,,"T"),$D$1)&amp;" "&amp;"L"))</f>
        <v/>
      </c>
      <c r="Q109" s="69" t="str">
        <f>IF(Q106="","",IF(RTD("cqg.rtd",,"StudyData",A115,  "Bar",, "Close", "D",,,,,,"T")="","",TEXT(RTD("cqg.rtd",,"StudyData",A115,  "Bar",, "Close", "D",,,,,,"T"),$D$1)&amp;" "&amp;"L"))</f>
        <v/>
      </c>
      <c r="R109" s="69" t="str">
        <f>IF(R106="","",IF(RTD("cqg.rtd",,"StudyData",A116,  "Bar",, "Close", "D",,,,,,"T")="","",TEXT(RTD("cqg.rtd",,"StudyData",A116,  "Bar",, "Close", "D",,,,,,"T"),$D$1)&amp;" "&amp;"L"))</f>
        <v/>
      </c>
      <c r="S109" s="69" t="str">
        <f>IF(S106="","",IF(RTD("cqg.rtd",,"StudyData",A117,  "Bar",, "Close", "D",,,,,,"T")="","",TEXT(RTD("cqg.rtd",,"StudyData",A117,  "Bar",, "Close", "D",,,,,,"T"),$D$1)&amp;" "&amp;"L"))</f>
        <v/>
      </c>
      <c r="T109" s="69" t="str">
        <f>IF(T106="","",IF(RTD("cqg.rtd",,"StudyData",A118,  "Bar",, "Close", "D",,,,,,"T")="","",TEXT(RTD("cqg.rtd",,"StudyData",A118,  "Bar",, "Close", "D",,,,,,"T"),$D$1)&amp;" "&amp;"L"))</f>
        <v/>
      </c>
      <c r="U109" s="69" t="str">
        <f>IF(U106="","",IF(RTD("cqg.rtd",,"StudyData",A119,  "Bar",, "Close", "D",,,,,,"T")="","",TEXT(RTD("cqg.rtd",,"StudyData",A119,  "Bar",, "Close", "D",,,,,,"T"),$D$1)&amp;" "&amp;"L"))</f>
        <v/>
      </c>
      <c r="V109" s="69" t="str">
        <f>IF(V106="","",IF(RTD("cqg.rtd",,"StudyData",A120,  "Bar",, "Close", "D",,,,,,"T")="","",TEXT(RTD("cqg.rtd",,"StudyData",A120,  "Bar",, "Close", "D",,,,,,"T"),$D$1)&amp;" "&amp;"L"))</f>
        <v/>
      </c>
    </row>
    <row r="110" spans="1:22" ht="15" customHeight="1" x14ac:dyDescent="0.3">
      <c r="A110" s="1" t="str">
        <f>IF(LEFT(RTD("cqg.rtd",,"ContractData",'CLE6'!J17, "Symbol"),3)="768",NA(),RTD("cqg.rtd",,"ContractData",'CLE6'!J17, "Symbol"))</f>
        <v>ZSES6F25</v>
      </c>
      <c r="B110" s="111" t="str">
        <f>IFERROR(LEFT(RIGHT(RTD("cqg.rtd", ,"ContractData",A110, "LongDescription",, "T"),13),3)&amp;" &amp; "&amp;LEFT(RIGHT(RTD("cqg.rtd", ,"ContractData",A110, "LongDescription",, "T"),4),3),"")</f>
        <v>F25 &amp; X25</v>
      </c>
      <c r="C110" s="40" t="str">
        <f>IF(B110="","",TEXT(RTD("cqg.rtd", ,"ContractData",A110, "Open",,"T"),$D$1))</f>
        <v>-20.50</v>
      </c>
      <c r="D110" s="40" t="str">
        <f>IF(B110="","",TEXT(RTD("cqg.rtd",,"ContractData",A110,"High",,"T"),$D$1))</f>
        <v>-13.25</v>
      </c>
      <c r="E110" s="40" t="str">
        <f>IF(B110="","",TEXT(RTD("cqg.rtd", ,"ContractData",A110, "Low",,"T"),$D$1))</f>
        <v>-20.50</v>
      </c>
      <c r="F110" s="40" t="str">
        <f>IF(B110="","",TEXT(RTD("cqg.rtd",,"ContractData",A110,"LastTradeorSettle",,"T"),$D$1))</f>
        <v>-15.75</v>
      </c>
      <c r="G110" s="74">
        <f>IF(B110="","",TEXT(RTD("cqg.rtd",,"ContractData",A110,"NetLastTradeToday",,"T"),$D$1)*1)</f>
        <v>6.5</v>
      </c>
      <c r="H110" s="75">
        <f>IFERROR(IF(B110="","",TEXT(RTD("cqg.rtd",,"ContractData",A110,"NetLastTradeToday",,"T"),$D$1)*1),"")</f>
        <v>6.5</v>
      </c>
      <c r="I110" s="41">
        <f>IF(B110="","",RTD("cqg.rtd", ,"ContractData",A110, "T_CVol"))</f>
        <v>704</v>
      </c>
      <c r="J110" s="81"/>
      <c r="K110" s="81"/>
      <c r="L110" s="81"/>
      <c r="M110" s="81"/>
      <c r="N110" s="81"/>
      <c r="O110" s="81"/>
      <c r="P110" s="81"/>
      <c r="Q110" s="81"/>
      <c r="R110" s="82"/>
      <c r="V110" s="91"/>
    </row>
    <row r="111" spans="1:22" ht="15" customHeight="1" x14ac:dyDescent="0.3">
      <c r="A111" s="1" t="str">
        <f>IF(LEFT(RTD("cqg.rtd",,"ContractData",'CLE6'!J18, "Symbol"),3)="768",NA(),RTD("cqg.rtd",,"ContractData",'CLE6'!J18, "Symbol"))</f>
        <v>ZSES6H25</v>
      </c>
      <c r="B111" s="111" t="str">
        <f>IFERROR(LEFT(RIGHT(RTD("cqg.rtd", ,"ContractData",A111, "LongDescription",, "T"),13),3)&amp;" &amp; "&amp;LEFT(RIGHT(RTD("cqg.rtd", ,"ContractData",A111, "LongDescription",, "T"),4),3),"")</f>
        <v>H25 &amp; F26</v>
      </c>
      <c r="C111" s="40" t="str">
        <f>IF(B111="","",TEXT(RTD("cqg.rtd", ,"ContractData",A111, "Open",,"T"),$D$1))</f>
        <v>-11.25</v>
      </c>
      <c r="D111" s="40" t="str">
        <f>IF(B111="","",TEXT(RTD("cqg.rtd",,"ContractData",A111,"High",,"T"),$D$1))</f>
        <v>-11.25</v>
      </c>
      <c r="E111" s="40" t="str">
        <f>IF(B111="","",TEXT(RTD("cqg.rtd", ,"ContractData",A111, "Low",,"T"),$D$1))</f>
        <v>-11.25</v>
      </c>
      <c r="F111" s="40" t="str">
        <f>IF(B111="","",TEXT(RTD("cqg.rtd",,"ContractData",A111,"LastTradeorSettle",,"T"),$D$1))</f>
        <v>-11.25</v>
      </c>
      <c r="G111" s="74">
        <f>IF(B111="","",TEXT(RTD("cqg.rtd",,"ContractData",A111,"NetLastTradeToday",,"T"),$D$1)*1)</f>
        <v>7</v>
      </c>
      <c r="H111" s="75">
        <f>IFERROR(IF(B111="","",TEXT(RTD("cqg.rtd",,"ContractData",A111,"NetLastTradeToday",,"T"),$D$1)*1),"")</f>
        <v>7</v>
      </c>
      <c r="I111" s="41">
        <f>IF(B111="","",RTD("cqg.rtd", ,"ContractData",A111, "T_CVol"))</f>
        <v>1</v>
      </c>
      <c r="J111" s="81"/>
      <c r="K111" s="81"/>
      <c r="L111" s="81"/>
      <c r="M111" s="81"/>
      <c r="N111" s="81"/>
      <c r="O111" s="81"/>
      <c r="P111" s="81"/>
      <c r="Q111" s="81"/>
      <c r="R111" s="82"/>
      <c r="V111" s="91"/>
    </row>
    <row r="112" spans="1:22" ht="15" customHeight="1" x14ac:dyDescent="0.3">
      <c r="A112" s="1" t="str">
        <f>IF(LEFT(RTD("cqg.rtd",,"ContractData",'CLE6'!J19, "Symbol"),3)="768",NA(),RTD("cqg.rtd",,"ContractData",'CLE6'!J19, "Symbol"))</f>
        <v>ZSES6K25</v>
      </c>
      <c r="B112" s="111" t="str">
        <f>IFERROR(LEFT(RIGHT(RTD("cqg.rtd", ,"ContractData",A112, "LongDescription",, "T"),13),3)&amp;" &amp; "&amp;LEFT(RIGHT(RTD("cqg.rtd", ,"ContractData",A112, "LongDescription",, "T"),4),3),"")</f>
        <v>K25 &amp; H26</v>
      </c>
      <c r="C112" s="40" t="str">
        <f>IF(B112="","",TEXT(RTD("cqg.rtd", ,"ContractData",A112, "Open",,"T"),$D$1))</f>
        <v>-2.50</v>
      </c>
      <c r="D112" s="40" t="str">
        <f>IF(B112="","",TEXT(RTD("cqg.rtd",,"ContractData",A112,"High",,"T"),$D$1))</f>
        <v>-2.50</v>
      </c>
      <c r="E112" s="40" t="str">
        <f>IF(B112="","",TEXT(RTD("cqg.rtd", ,"ContractData",A112, "Low",,"T"),$D$1))</f>
        <v>-2.50</v>
      </c>
      <c r="F112" s="40" t="str">
        <f>IF(B112="","",TEXT(RTD("cqg.rtd",,"ContractData",A112,"LastTradeorSettle",,"T"),$D$1))</f>
        <v>-2.50</v>
      </c>
      <c r="G112" s="74">
        <f>IF(B112="","",TEXT(RTD("cqg.rtd",,"ContractData",A112,"NetLastTradeToday",,"T"),$D$1)*1)</f>
        <v>2.5</v>
      </c>
      <c r="H112" s="75">
        <f>IFERROR(IF(B112="","",TEXT(RTD("cqg.rtd",,"ContractData",A112,"NetLastTradeToday",,"T"),$D$1)*1),"")</f>
        <v>2.5</v>
      </c>
      <c r="I112" s="41">
        <f>IF(B112="","",RTD("cqg.rtd", ,"ContractData",A112, "T_CVol"))</f>
        <v>1</v>
      </c>
      <c r="J112" s="81"/>
      <c r="K112" s="81"/>
      <c r="L112" s="81"/>
      <c r="M112" s="81"/>
      <c r="N112" s="81"/>
      <c r="O112" s="81"/>
      <c r="P112" s="81"/>
      <c r="Q112" s="81"/>
      <c r="R112" s="82"/>
      <c r="V112" s="91"/>
    </row>
    <row r="113" spans="1:33" ht="15" customHeight="1" x14ac:dyDescent="0.3">
      <c r="A113" s="1" t="str">
        <f>IF(LEFT(RTD("cqg.rtd",,"ContractData",'CLE6'!J20, "Symbol"),3)="768",NA(),RTD("cqg.rtd",,"ContractData",'CLE6'!J20, "Symbol"))</f>
        <v>ZSES6N25</v>
      </c>
      <c r="B113" s="111" t="str">
        <f>IFERROR(LEFT(RIGHT(RTD("cqg.rtd", ,"ContractData",A113, "LongDescription",, "T"),13),3)&amp;" &amp; "&amp;LEFT(RIGHT(RTD("cqg.rtd", ,"ContractData",A113, "LongDescription",, "T"),4),3),"")</f>
        <v>N25 &amp; K26</v>
      </c>
      <c r="C113" s="40" t="str">
        <f>IF(B113="","",TEXT(RTD("cqg.rtd", ,"ContractData",A113, "Open",,"T"),$D$1))</f>
        <v/>
      </c>
      <c r="D113" s="40" t="str">
        <f>IF(B113="","",TEXT(RTD("cqg.rtd",,"ContractData",A113,"High",,"T"),$D$1))</f>
        <v/>
      </c>
      <c r="E113" s="40" t="str">
        <f>IF(B113="","",TEXT(RTD("cqg.rtd", ,"ContractData",A113, "Low",,"T"),$D$1))</f>
        <v/>
      </c>
      <c r="F113" s="40" t="str">
        <f>IF(B113="","",TEXT(RTD("cqg.rtd",,"ContractData",A113,"LastTradeorSettle",,"T"),$D$1))</f>
        <v/>
      </c>
      <c r="G113" s="74" t="e">
        <f>IF(B113="","",TEXT(RTD("cqg.rtd",,"ContractData",A113,"NetLastTradeToday",,"T"),$D$1)*1)</f>
        <v>#VALUE!</v>
      </c>
      <c r="H113" s="75" t="str">
        <f>IFERROR(IF(B113="","",TEXT(RTD("cqg.rtd",,"ContractData",A113,"NetLastTradeToday",,"T"),$D$1)*1),"")</f>
        <v/>
      </c>
      <c r="I113" s="41">
        <f>IF(B113="","",RTD("cqg.rtd", ,"ContractData",A113, "T_CVol"))</f>
        <v>0</v>
      </c>
      <c r="J113" s="81"/>
      <c r="K113" s="81"/>
      <c r="L113" s="81"/>
      <c r="M113" s="81"/>
      <c r="N113" s="81"/>
      <c r="O113" s="81"/>
      <c r="P113" s="81"/>
      <c r="Q113" s="81"/>
      <c r="R113" s="82"/>
      <c r="V113" s="91"/>
    </row>
    <row r="114" spans="1:33" ht="15" customHeight="1" x14ac:dyDescent="0.3">
      <c r="A114" s="1" t="str">
        <f>IF(LEFT(RTD("cqg.rtd",,"ContractData",'CLE6'!J21, "Symbol"),3)="768",NA(),RTD("cqg.rtd",,"ContractData",'CLE6'!J21, "Symbol"))</f>
        <v>ZSES6Q25</v>
      </c>
      <c r="B114" s="111" t="str">
        <f>IFERROR(LEFT(RIGHT(RTD("cqg.rtd", ,"ContractData",A114, "LongDescription",, "T"),13),3)&amp;" &amp; "&amp;LEFT(RIGHT(RTD("cqg.rtd", ,"ContractData",A114, "LongDescription",, "T"),4),3),"")</f>
        <v>Q25 &amp; N26</v>
      </c>
      <c r="C114" s="40" t="str">
        <f>IF(B114="","",TEXT(RTD("cqg.rtd", ,"ContractData",A114, "Open",,"T"),$D$1))</f>
        <v/>
      </c>
      <c r="D114" s="40" t="str">
        <f>IF(B114="","",TEXT(RTD("cqg.rtd",,"ContractData",A114,"High",,"T"),$D$1))</f>
        <v/>
      </c>
      <c r="E114" s="40" t="str">
        <f>IF(B114="","",TEXT(RTD("cqg.rtd", ,"ContractData",A114, "Low",,"T"),$D$1))</f>
        <v/>
      </c>
      <c r="F114" s="40" t="str">
        <f>IF(B114="","",TEXT(RTD("cqg.rtd",,"ContractData",A114,"LastTradeorSettle",,"T"),$D$1))</f>
        <v/>
      </c>
      <c r="G114" s="74" t="e">
        <f>IF(B114="","",TEXT(RTD("cqg.rtd",,"ContractData",A114,"NetLastTradeToday",,"T"),$D$1)*1)</f>
        <v>#VALUE!</v>
      </c>
      <c r="H114" s="75" t="str">
        <f>IFERROR(IF(B114="","",TEXT(RTD("cqg.rtd",,"ContractData",A114,"NetLastTradeToday",,"T"),$D$1)*1),"")</f>
        <v/>
      </c>
      <c r="I114" s="41">
        <f>IF(B114="","",RTD("cqg.rtd", ,"ContractData",A114, "T_CVol"))</f>
        <v>0</v>
      </c>
      <c r="J114" s="81"/>
      <c r="K114" s="81"/>
      <c r="L114" s="81"/>
      <c r="M114" s="81"/>
      <c r="N114" s="81"/>
      <c r="O114" s="81"/>
      <c r="P114" s="81"/>
      <c r="Q114" s="81"/>
      <c r="R114" s="82"/>
      <c r="V114" s="91"/>
    </row>
    <row r="115" spans="1:33" ht="15" customHeight="1" x14ac:dyDescent="0.3">
      <c r="A115" s="1" t="str">
        <f>IF(LEFT(RTD("cqg.rtd",,"ContractData",'CLE6'!J22, "Symbol"),3)="768",NA(),RTD("cqg.rtd",,"ContractData",'CLE6'!J22, "Symbol"))</f>
        <v>ZSES6U25</v>
      </c>
      <c r="B115" s="111" t="str">
        <f>IFERROR(LEFT(RIGHT(RTD("cqg.rtd", ,"ContractData",A115, "LongDescription",, "T"),13),3)&amp;" &amp; "&amp;LEFT(RIGHT(RTD("cqg.rtd", ,"ContractData",A115, "LongDescription",, "T"),4),3),"")</f>
        <v>U25 &amp; Q26</v>
      </c>
      <c r="C115" s="40" t="str">
        <f>IF(B115="","",TEXT(RTD("cqg.rtd", ,"ContractData",A115, "Open",,"T"),$D$1))</f>
        <v/>
      </c>
      <c r="D115" s="40" t="str">
        <f>IF(B115="","",TEXT(RTD("cqg.rtd",,"ContractData",A115,"High",,"T"),$D$1))</f>
        <v/>
      </c>
      <c r="E115" s="40" t="str">
        <f>IF(B115="","",TEXT(RTD("cqg.rtd", ,"ContractData",A115, "Low",,"T"),$D$1))</f>
        <v/>
      </c>
      <c r="F115" s="40" t="str">
        <f>IF(B115="","",TEXT(RTD("cqg.rtd",,"ContractData",A115,"LastTradeorSettle",,"T"),$D$1))</f>
        <v/>
      </c>
      <c r="G115" s="74" t="e">
        <f>IF(B115="","",TEXT(RTD("cqg.rtd",,"ContractData",A115,"NetLastTradeToday",,"T"),$D$1)*1)</f>
        <v>#VALUE!</v>
      </c>
      <c r="H115" s="75" t="str">
        <f>IFERROR(IF(B115="","",TEXT(RTD("cqg.rtd",,"ContractData",A115,"NetLastTradeToday",,"T"),$D$1)*1),"")</f>
        <v/>
      </c>
      <c r="I115" s="41">
        <f>IF(B115="","",RTD("cqg.rtd", ,"ContractData",A115, "T_CVol"))</f>
        <v>0</v>
      </c>
      <c r="J115" s="81"/>
      <c r="K115" s="81"/>
      <c r="L115" s="81"/>
      <c r="M115" s="81"/>
      <c r="N115" s="81"/>
      <c r="O115" s="81"/>
      <c r="P115" s="81"/>
      <c r="Q115" s="81"/>
      <c r="R115" s="82"/>
      <c r="V115" s="91"/>
    </row>
    <row r="116" spans="1:33" ht="15" customHeight="1" x14ac:dyDescent="0.3">
      <c r="A116" s="1" t="str">
        <f>IF(LEFT(RTD("cqg.rtd",,"ContractData",'CLE6'!J23, "Symbol"),3)="768",NA(),RTD("cqg.rtd",,"ContractData",'CLE6'!J23, "Symbol"))</f>
        <v>ZSES6X25</v>
      </c>
      <c r="B116" s="111" t="str">
        <f>IFERROR(LEFT(RIGHT(RTD("cqg.rtd", ,"ContractData",A116, "LongDescription",, "T"),13),3)&amp;" &amp; "&amp;LEFT(RIGHT(RTD("cqg.rtd", ,"ContractData",A116, "LongDescription",, "T"),4),3),"")</f>
        <v>X25 &amp; U26</v>
      </c>
      <c r="C116" s="40" t="str">
        <f>IF(B116="","",TEXT(RTD("cqg.rtd", ,"ContractData",A116, "Open",,"T"),$D$1))</f>
        <v/>
      </c>
      <c r="D116" s="40" t="str">
        <f>IF(B116="","",TEXT(RTD("cqg.rtd",,"ContractData",A116,"High",,"T"),$D$1))</f>
        <v/>
      </c>
      <c r="E116" s="40" t="str">
        <f>IF(B116="","",TEXT(RTD("cqg.rtd", ,"ContractData",A116, "Low",,"T"),$D$1))</f>
        <v/>
      </c>
      <c r="F116" s="40" t="str">
        <f>IF(B116="","",TEXT(RTD("cqg.rtd",,"ContractData",A116,"LastTradeorSettle",,"T"),$D$1))</f>
        <v/>
      </c>
      <c r="G116" s="74" t="e">
        <f>IF(B116="","",TEXT(RTD("cqg.rtd",,"ContractData",A116,"NetLastTradeToday",,"T"),$D$1)*1)</f>
        <v>#VALUE!</v>
      </c>
      <c r="H116" s="75" t="str">
        <f>IFERROR(IF(B116="","",TEXT(RTD("cqg.rtd",,"ContractData",A116,"NetLastTradeToday",,"T"),$D$1)*1),"")</f>
        <v/>
      </c>
      <c r="I116" s="41">
        <f>IF(B116="","",RTD("cqg.rtd", ,"ContractData",A116, "T_CVol"))</f>
        <v>0</v>
      </c>
      <c r="J116" s="81"/>
      <c r="K116" s="81"/>
      <c r="L116" s="81"/>
      <c r="M116" s="81"/>
      <c r="N116" s="81"/>
      <c r="O116" s="81"/>
      <c r="P116" s="81"/>
      <c r="Q116" s="81"/>
      <c r="R116" s="82"/>
      <c r="V116" s="91"/>
    </row>
    <row r="117" spans="1:33" ht="15" customHeight="1" x14ac:dyDescent="0.3">
      <c r="A117" s="1" t="str">
        <f>IF(LEFT(RTD("cqg.rtd",,"ContractData",'CLE6'!J24, "Symbol"),3)="768",NA(),RTD("cqg.rtd",,"ContractData",'CLE6'!J24, "Symbol"))</f>
        <v>ZSES6F26</v>
      </c>
      <c r="B117" s="111" t="str">
        <f>IFERROR(LEFT(RIGHT(RTD("cqg.rtd", ,"ContractData",A117, "LongDescription",, "T"),13),3)&amp;" &amp; "&amp;LEFT(RIGHT(RTD("cqg.rtd", ,"ContractData",A117, "LongDescription",, "T"),4),3),"")</f>
        <v>F26 &amp; X26</v>
      </c>
      <c r="C117" s="40" t="str">
        <f>IF(B117="","",TEXT(RTD("cqg.rtd", ,"ContractData",A117, "Open",,"T"),$D$1))</f>
        <v/>
      </c>
      <c r="D117" s="40" t="str">
        <f>IF(B117="","",TEXT(RTD("cqg.rtd",,"ContractData",A117,"High",,"T"),$D$1))</f>
        <v/>
      </c>
      <c r="E117" s="40" t="str">
        <f>IF(B117="","",TEXT(RTD("cqg.rtd", ,"ContractData",A117, "Low",,"T"),$D$1))</f>
        <v/>
      </c>
      <c r="F117" s="40" t="str">
        <f>IF(B117="","",TEXT(RTD("cqg.rtd",,"ContractData",A117,"LastTradeorSettle",,"T"),$D$1))</f>
        <v/>
      </c>
      <c r="G117" s="74" t="e">
        <f>IF(B117="","",TEXT(RTD("cqg.rtd",,"ContractData",A117,"NetLastTradeToday",,"T"),$D$1)*1)</f>
        <v>#VALUE!</v>
      </c>
      <c r="H117" s="75" t="str">
        <f>IFERROR(IF(B117="","",TEXT(RTD("cqg.rtd",,"ContractData",A117,"NetLastTradeToday",,"T"),$D$1)*1),"")</f>
        <v/>
      </c>
      <c r="I117" s="41">
        <f>IF(B117="","",RTD("cqg.rtd", ,"ContractData",A117, "T_CVol"))</f>
        <v>0</v>
      </c>
      <c r="J117" s="81"/>
      <c r="K117" s="81"/>
      <c r="L117" s="81"/>
      <c r="M117" s="81"/>
      <c r="N117" s="81"/>
      <c r="O117" s="81"/>
      <c r="P117" s="81"/>
      <c r="Q117" s="81"/>
      <c r="R117" s="82"/>
      <c r="V117" s="91"/>
    </row>
    <row r="118" spans="1:33" ht="15" customHeight="1" x14ac:dyDescent="0.3">
      <c r="A118" s="1" t="str">
        <f>IF(LEFT(RTD("cqg.rtd",,"ContractData",'CLE6'!J25, "Symbol"),3)="768",NA(),RTD("cqg.rtd",,"ContractData",'CLE6'!J25, "Symbol"))</f>
        <v>ZSES6H26</v>
      </c>
      <c r="B118" s="111" t="str">
        <f>IFERROR(LEFT(RIGHT(RTD("cqg.rtd", ,"ContractData",A118, "LongDescription",, "T"),13),3)&amp;" &amp; "&amp;LEFT(RIGHT(RTD("cqg.rtd", ,"ContractData",A118, "LongDescription",, "T"),4),3),"")</f>
        <v>H26 &amp; F27</v>
      </c>
      <c r="C118" s="40" t="str">
        <f>IF(B118="","",TEXT(RTD("cqg.rtd", ,"ContractData",A118, "Open",,"T"),$D$1))</f>
        <v/>
      </c>
      <c r="D118" s="40" t="str">
        <f>IF(B118="","",TEXT(RTD("cqg.rtd",,"ContractData",A118,"High",,"T"),$D$1))</f>
        <v/>
      </c>
      <c r="E118" s="40" t="str">
        <f>IF(B118="","",TEXT(RTD("cqg.rtd", ,"ContractData",A118, "Low",,"T"),$D$1))</f>
        <v/>
      </c>
      <c r="F118" s="40" t="str">
        <f>IF(B118="","",TEXT(RTD("cqg.rtd",,"ContractData",A118,"LastTradeorSettle",,"T"),$D$1))</f>
        <v/>
      </c>
      <c r="G118" s="74" t="e">
        <f>IF(B118="","",TEXT(RTD("cqg.rtd",,"ContractData",A118,"NetLastTradeToday",,"T"),$D$1)*1)</f>
        <v>#VALUE!</v>
      </c>
      <c r="H118" s="75" t="str">
        <f>IFERROR(IF(B118="","",TEXT(RTD("cqg.rtd",,"ContractData",A118,"NetLastTradeToday",,"T"),$D$1)*1),"")</f>
        <v/>
      </c>
      <c r="I118" s="41">
        <f>IF(B118="","",RTD("cqg.rtd", ,"ContractData",A118, "T_CVol"))</f>
        <v>0</v>
      </c>
      <c r="J118" s="81"/>
      <c r="K118" s="81"/>
      <c r="L118" s="81"/>
      <c r="M118" s="81"/>
      <c r="N118" s="81"/>
      <c r="O118" s="81"/>
      <c r="P118" s="81"/>
      <c r="Q118" s="81"/>
      <c r="R118" s="82"/>
      <c r="V118" s="91"/>
    </row>
    <row r="119" spans="1:33" ht="15" customHeight="1" x14ac:dyDescent="0.3">
      <c r="A119" s="1" t="str">
        <f>IF(LEFT(RTD("cqg.rtd",,"ContractData",'CLE6'!J26, "Symbol"),3)="768",NA(),RTD("cqg.rtd",,"ContractData",'CLE6'!J26, "Symbol"))</f>
        <v>ZSES6K26</v>
      </c>
      <c r="B119" s="111" t="str">
        <f>IFERROR(LEFT(RIGHT(RTD("cqg.rtd", ,"ContractData",A119, "LongDescription",, "T"),13),3)&amp;" &amp; "&amp;LEFT(RIGHT(RTD("cqg.rtd", ,"ContractData",A119, "LongDescription",, "T"),4),3),"")</f>
        <v>K26 &amp; H27</v>
      </c>
      <c r="C119" s="40" t="str">
        <f>IF(B119="","",TEXT(RTD("cqg.rtd", ,"ContractData",A119, "Open",,"T"),$D$1))</f>
        <v/>
      </c>
      <c r="D119" s="40" t="str">
        <f>IF(B119="","",TEXT(RTD("cqg.rtd",,"ContractData",A119,"High",,"T"),$D$1))</f>
        <v/>
      </c>
      <c r="E119" s="40" t="str">
        <f>IF(B119="","",TEXT(RTD("cqg.rtd", ,"ContractData",A119, "Low",,"T"),$D$1))</f>
        <v/>
      </c>
      <c r="F119" s="40" t="str">
        <f>IF(B119="","",TEXT(RTD("cqg.rtd",,"ContractData",A119,"LastTradeorSettle",,"T"),$D$1))</f>
        <v/>
      </c>
      <c r="G119" s="74" t="e">
        <f>IF(B119="","",TEXT(RTD("cqg.rtd",,"ContractData",A119,"NetLastTradeToday",,"T"),$D$1)*1)</f>
        <v>#VALUE!</v>
      </c>
      <c r="H119" s="75" t="str">
        <f>IFERROR(IF(B119="","",TEXT(RTD("cqg.rtd",,"ContractData",A119,"NetLastTradeToday",,"T"),$D$1)*1),"")</f>
        <v/>
      </c>
      <c r="I119" s="41">
        <f>IF(B119="","",RTD("cqg.rtd", ,"ContractData",A119, "T_CVol"))</f>
        <v>0</v>
      </c>
      <c r="J119" s="81"/>
      <c r="K119" s="81"/>
      <c r="L119" s="81"/>
      <c r="M119" s="81"/>
      <c r="N119" s="81"/>
      <c r="O119" s="81"/>
      <c r="P119" s="81"/>
      <c r="Q119" s="81"/>
      <c r="R119" s="82"/>
      <c r="V119" s="91"/>
    </row>
    <row r="120" spans="1:33" ht="15" customHeight="1" x14ac:dyDescent="0.3">
      <c r="A120" s="1" t="str">
        <f>IF(LEFT(RTD("cqg.rtd",,"ContractData",'CLE6'!J27, "Symbol"),3)="768",NA(),RTD("cqg.rtd",,"ContractData",'CLE6'!J27, "Symbol"))</f>
        <v>ZSES6N26</v>
      </c>
      <c r="B120" s="111" t="str">
        <f>IFERROR(LEFT(RIGHT(RTD("cqg.rtd", ,"ContractData",A120, "LongDescription",, "T"),13),3)&amp;" &amp; "&amp;LEFT(RIGHT(RTD("cqg.rtd", ,"ContractData",A120, "LongDescription",, "T"),4),3),"")</f>
        <v>N26 &amp; K27</v>
      </c>
      <c r="C120" s="40" t="str">
        <f>IF(B120="","",TEXT(RTD("cqg.rtd", ,"ContractData",A120, "Open",,"T"),$D$1))</f>
        <v/>
      </c>
      <c r="D120" s="40" t="str">
        <f>IF(B120="","",TEXT(RTD("cqg.rtd",,"ContractData",A120,"High",,"T"),$D$1))</f>
        <v/>
      </c>
      <c r="E120" s="40" t="str">
        <f>IF(B120="","",TEXT(RTD("cqg.rtd", ,"ContractData",A120, "Low",,"T"),$D$1))</f>
        <v/>
      </c>
      <c r="F120" s="40" t="str">
        <f>IF(B120="","",TEXT(RTD("cqg.rtd",,"ContractData",A120,"LastTradeorSettle",,"T"),$D$1))</f>
        <v/>
      </c>
      <c r="G120" s="74" t="e">
        <f>IF(B120="","",TEXT(RTD("cqg.rtd",,"ContractData",A120,"NetLastTradeToday",,"T"),$D$1)*1)</f>
        <v>#VALUE!</v>
      </c>
      <c r="H120" s="75" t="str">
        <f>IFERROR(IF(B120="","",TEXT(RTD("cqg.rtd",,"ContractData",A120,"NetLastTradeToday",,"T"),$D$1)*1),"")</f>
        <v/>
      </c>
      <c r="I120" s="41">
        <f>IF(B120="","",RTD("cqg.rtd", ,"ContractData",A120, "T_CVol"))</f>
        <v>0</v>
      </c>
      <c r="J120" s="81"/>
      <c r="K120" s="81"/>
      <c r="L120" s="81"/>
      <c r="M120" s="81"/>
      <c r="N120" s="81"/>
      <c r="O120" s="81"/>
      <c r="P120" s="81"/>
      <c r="Q120" s="81"/>
      <c r="R120" s="82"/>
      <c r="V120" s="91"/>
    </row>
    <row r="121" spans="1:33" ht="12" customHeight="1" x14ac:dyDescent="0.3">
      <c r="B121" s="55"/>
      <c r="C121" s="56"/>
      <c r="D121" s="57"/>
      <c r="E121" s="58"/>
      <c r="F121" s="59"/>
      <c r="G121" s="58"/>
      <c r="H121" s="60"/>
      <c r="I121" s="92"/>
      <c r="J121" s="93"/>
      <c r="K121" s="81"/>
      <c r="L121" s="81"/>
      <c r="M121" s="81"/>
      <c r="N121" s="81"/>
      <c r="O121" s="81"/>
      <c r="P121" s="81"/>
      <c r="Q121" s="81"/>
      <c r="R121" s="82"/>
      <c r="V121" s="91"/>
    </row>
    <row r="122" spans="1:33" ht="15" customHeight="1" x14ac:dyDescent="0.2">
      <c r="B122" s="94"/>
      <c r="C122" s="95"/>
      <c r="D122" s="95"/>
      <c r="E122" s="96"/>
      <c r="F122" s="96"/>
      <c r="G122" s="96"/>
      <c r="H122" s="96"/>
      <c r="I122" s="120"/>
      <c r="J122" s="120"/>
      <c r="K122" s="120"/>
      <c r="L122" s="97"/>
      <c r="M122" s="98"/>
      <c r="N122" s="113"/>
      <c r="O122" s="113"/>
      <c r="P122" s="121"/>
      <c r="Q122" s="121"/>
      <c r="R122" s="112"/>
      <c r="S122" s="112"/>
      <c r="T122" s="98"/>
      <c r="U122" s="113"/>
      <c r="V122" s="114"/>
      <c r="AB122" s="3">
        <f>RTD("cqg.rtd", ,"ContractData",AD122, "T_CVol")</f>
        <v>83</v>
      </c>
      <c r="AD122" s="3" t="str">
        <f>CLE!V2</f>
        <v>ZSES1X4</v>
      </c>
      <c r="AE122" s="3" t="e">
        <f>RTD("cqg.rtd",,"StudyData",AG122, "Vol", "VolType=auto,CoCType=Contract", "Vol","D","0","ALL",,,"TRUE","T")</f>
        <v>#REF!</v>
      </c>
      <c r="AG122" s="3" t="e">
        <f>#REF!</f>
        <v>#REF!</v>
      </c>
    </row>
    <row r="123" spans="1:33" ht="15.95" customHeight="1" x14ac:dyDescent="0.2">
      <c r="B123" s="99"/>
      <c r="C123" s="140" t="s">
        <v>45</v>
      </c>
      <c r="D123" s="140"/>
      <c r="E123" s="140"/>
      <c r="F123" s="140" t="s">
        <v>28</v>
      </c>
      <c r="G123" s="140"/>
      <c r="H123" s="140"/>
      <c r="I123" s="150"/>
      <c r="J123" s="150"/>
      <c r="K123" s="150"/>
      <c r="L123" s="100"/>
      <c r="M123" s="101"/>
      <c r="N123" s="147"/>
      <c r="O123" s="147"/>
      <c r="P123" s="152"/>
      <c r="Q123" s="152"/>
      <c r="R123" s="149"/>
      <c r="S123" s="149"/>
      <c r="T123" s="101"/>
      <c r="U123" s="147"/>
      <c r="V123" s="148"/>
      <c r="AB123" s="3">
        <f>RTD("cqg.rtd", ,"ContractData",AD123, "T_CVol")</f>
        <v>9573</v>
      </c>
      <c r="AD123" s="3" t="str">
        <f>CLE!V3</f>
        <v>ZSES1F5</v>
      </c>
      <c r="AE123" s="3" t="e">
        <f>RTD("cqg.rtd",,"StudyData",AG123, "Vol", "VolType=auto,CoCType=Contract", "Vol","D","0","ALL",,,"TRUE","T")</f>
        <v>#REF!</v>
      </c>
      <c r="AG123" s="3" t="e">
        <f>#REF!</f>
        <v>#REF!</v>
      </c>
    </row>
    <row r="124" spans="1:33" ht="15.95" customHeight="1" x14ac:dyDescent="0.2">
      <c r="B124" s="48"/>
      <c r="C124" s="48"/>
      <c r="D124" s="48"/>
      <c r="E124" s="48"/>
      <c r="F124" s="81"/>
      <c r="G124" s="81"/>
      <c r="L124" s="102"/>
      <c r="M124" s="102"/>
      <c r="N124" s="102"/>
      <c r="O124" s="102"/>
      <c r="P124" s="81"/>
      <c r="Q124" s="81"/>
      <c r="AB124" s="3">
        <f>RTD("cqg.rtd", ,"ContractData",AD124, "T_CVol")</f>
        <v>3035</v>
      </c>
      <c r="AD124" s="3" t="str">
        <f>CLE!V4</f>
        <v>ZSES1H5</v>
      </c>
      <c r="AE124" s="3" t="e">
        <f>RTD("cqg.rtd",,"StudyData",AG124, "Vol", "VolType=auto,CoCType=Contract", "Vol","D","0","ALL",,,"TRUE","T")</f>
        <v>#REF!</v>
      </c>
      <c r="AG124" s="3" t="e">
        <f>#REF!</f>
        <v>#REF!</v>
      </c>
    </row>
    <row r="125" spans="1:33" ht="15.95" customHeight="1" x14ac:dyDescent="0.2">
      <c r="B125" s="103"/>
      <c r="C125" s="135"/>
      <c r="D125" s="135"/>
      <c r="I125" s="104"/>
      <c r="J125" s="104"/>
      <c r="K125" s="104"/>
      <c r="L125" s="104"/>
      <c r="AB125" s="3">
        <f>RTD("cqg.rtd", ,"ContractData",AD125, "T_CVol")</f>
        <v>2055</v>
      </c>
      <c r="AD125" s="3" t="str">
        <f>CLE!V5</f>
        <v>ZSES1K5</v>
      </c>
      <c r="AE125" s="3" t="e">
        <f>RTD("cqg.rtd",,"StudyData",AG125, "Vol", "VolType=auto,CoCType=Contract", "Vol","D","0","ALL",,,"TRUE","T")</f>
        <v>#REF!</v>
      </c>
      <c r="AG125" s="3" t="e">
        <f>#REF!</f>
        <v>#REF!</v>
      </c>
    </row>
    <row r="126" spans="1:33" ht="15.95" customHeight="1" x14ac:dyDescent="0.2">
      <c r="AB126" s="3">
        <f>RTD("cqg.rtd", ,"ContractData",AD126, "T_CVol")</f>
        <v>419</v>
      </c>
      <c r="AD126" s="3" t="str">
        <f>CLE!V6</f>
        <v>ZSES1N5</v>
      </c>
      <c r="AE126" s="3" t="e">
        <f>RTD("cqg.rtd",,"StudyData",AG126, "Vol", "VolType=auto,CoCType=Contract", "Vol","D","0","ALL",,,"TRUE","T")</f>
        <v>#REF!</v>
      </c>
      <c r="AG126" s="3" t="e">
        <f>#REF!</f>
        <v>#REF!</v>
      </c>
    </row>
    <row r="127" spans="1:33" ht="15.95" customHeight="1" x14ac:dyDescent="0.2">
      <c r="AB127" s="3">
        <f>RTD("cqg.rtd", ,"ContractData",AD127, "T_CVol")</f>
        <v>260</v>
      </c>
      <c r="AD127" s="3" t="str">
        <f>CLE!V7</f>
        <v>ZSES1Q5</v>
      </c>
      <c r="AE127" s="3" t="e">
        <f>RTD("cqg.rtd",,"StudyData",AG127, "Vol", "VolType=auto,CoCType=Contract", "Vol","D","0","ALL",,,"TRUE","T")</f>
        <v>#REF!</v>
      </c>
      <c r="AG127" s="3" t="e">
        <f>#REF!</f>
        <v>#REF!</v>
      </c>
    </row>
    <row r="128" spans="1:33" ht="15.95" customHeight="1" x14ac:dyDescent="0.2">
      <c r="AB128" s="3">
        <f>RTD("cqg.rtd", ,"ContractData",AD128, "T_CVol")</f>
        <v>356</v>
      </c>
      <c r="AD128" s="3" t="str">
        <f>CLE!V8</f>
        <v>ZSES1U5</v>
      </c>
      <c r="AE128" s="3" t="e">
        <f>RTD("cqg.rtd",,"StudyData",AG128, "Vol", "VolType=auto,CoCType=Contract", "Vol","D","0","ALL",,,"TRUE","T")</f>
        <v>#REF!</v>
      </c>
      <c r="AG128" s="3" t="e">
        <f>#REF!</f>
        <v>#REF!</v>
      </c>
    </row>
    <row r="129" spans="1:35" s="108" customFormat="1" ht="20.100000000000001" customHeight="1" x14ac:dyDescent="0.25">
      <c r="A129" s="10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06"/>
      <c r="X129" s="106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</row>
    <row r="130" spans="1:35" ht="15.95" customHeight="1" x14ac:dyDescent="0.2"/>
    <row r="131" spans="1:35" ht="15.95" customHeight="1" x14ac:dyDescent="0.2"/>
    <row r="132" spans="1:35" ht="15" customHeight="1" x14ac:dyDescent="0.2"/>
  </sheetData>
  <sheetProtection algorithmName="SHA-512" hashValue="wyaVV5LwakVC9EITVvRy4F+Smut6MgkCBNhfN/PBoL1dTuJhFd9x/IX6JQ1mCSzYgiSe11/UczgsDfvgLELZbg==" saltValue="WIql1306j4gnWWt3fKyoGg==" spinCount="100000" sheet="1" objects="1" scenarios="1" selectLockedCells="1"/>
  <mergeCells count="39">
    <mergeCell ref="U3:V5"/>
    <mergeCell ref="B25:C25"/>
    <mergeCell ref="U123:V123"/>
    <mergeCell ref="R123:S123"/>
    <mergeCell ref="I123:K123"/>
    <mergeCell ref="K13:K15"/>
    <mergeCell ref="P123:Q123"/>
    <mergeCell ref="N123:O123"/>
    <mergeCell ref="B74:I75"/>
    <mergeCell ref="B7:B8"/>
    <mergeCell ref="N3:T5"/>
    <mergeCell ref="C9:C10"/>
    <mergeCell ref="D9:E10"/>
    <mergeCell ref="F9:G10"/>
    <mergeCell ref="H9:I10"/>
    <mergeCell ref="C3:J5"/>
    <mergeCell ref="C125:D125"/>
    <mergeCell ref="B26:I27"/>
    <mergeCell ref="B42:I43"/>
    <mergeCell ref="B58:I59"/>
    <mergeCell ref="B57:C57"/>
    <mergeCell ref="C123:E123"/>
    <mergeCell ref="F123:H123"/>
    <mergeCell ref="B73:C73"/>
    <mergeCell ref="B90:I91"/>
    <mergeCell ref="B89:C89"/>
    <mergeCell ref="B41:C41"/>
    <mergeCell ref="B4:B5"/>
    <mergeCell ref="C7:C8"/>
    <mergeCell ref="B9:B10"/>
    <mergeCell ref="D7:E8"/>
    <mergeCell ref="F7:I8"/>
    <mergeCell ref="R122:S122"/>
    <mergeCell ref="U122:V122"/>
    <mergeCell ref="J7:J10"/>
    <mergeCell ref="B106:I107"/>
    <mergeCell ref="I122:K122"/>
    <mergeCell ref="N122:O122"/>
    <mergeCell ref="P122:Q122"/>
  </mergeCells>
  <conditionalFormatting sqref="D124">
    <cfRule type="dataBar" priority="1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  <cfRule type="expression" dxfId="0" priority="135">
      <formula>#REF!&lt;0</formula>
    </cfRule>
  </conditionalFormatting>
  <conditionalFormatting sqref="G13:G24">
    <cfRule type="colorScale" priority="69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29:G40">
    <cfRule type="colorScale" priority="46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45:G56">
    <cfRule type="colorScale" priority="1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61:G72">
    <cfRule type="colorScale" priority="1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77:G88">
    <cfRule type="colorScale" priority="9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93:G104">
    <cfRule type="colorScale" priority="6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109:G120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{692C9A8C-B62F-4CA6-9915-904674FC5635}</x14:id>
        </ext>
      </extLst>
    </cfRule>
  </conditionalFormatting>
  <conditionalFormatting sqref="H29:H40">
    <cfRule type="dataBar" priority="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H45:H56">
    <cfRule type="dataBar" priority="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{B002EED4-E487-4D05-8B3D-934BF7FBED58}</x14:id>
        </ext>
      </extLst>
    </cfRule>
  </conditionalFormatting>
  <conditionalFormatting sqref="H61:H72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{D3FA6D16-8E03-49FA-807A-D3939164B084}</x14:id>
        </ext>
      </extLst>
    </cfRule>
  </conditionalFormatting>
  <conditionalFormatting sqref="H77:H88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{A56BD415-403D-4CD3-944A-545CD562E846}</x14:id>
        </ext>
      </extLst>
    </cfRule>
  </conditionalFormatting>
  <conditionalFormatting sqref="H93:H104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{F5AD6D4B-0201-4065-8293-A036AEFBBA89}</x14:id>
        </ext>
      </extLst>
    </cfRule>
  </conditionalFormatting>
  <conditionalFormatting sqref="H109:H120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{6BDD8275-1E90-466F-A9A7-82825720B0A5}</x14:id>
        </ext>
      </extLst>
    </cfRule>
  </conditionalFormatting>
  <conditionalFormatting sqref="I45:I56">
    <cfRule type="colorScale" priority="1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61:I72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7:I88">
    <cfRule type="colorScale" priority="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93:I104">
    <cfRule type="colorScale" priority="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09:I120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3:J24">
    <cfRule type="colorScale" priority="3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29:J40">
    <cfRule type="colorScale" priority="2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45:J56">
    <cfRule type="colorScale" priority="2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61:J72">
    <cfRule type="colorScale" priority="26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77:J88">
    <cfRule type="colorScale" priority="2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93:J104">
    <cfRule type="colorScale" priority="24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D124</xm:sqref>
        </x14:conditionalFormatting>
        <x14:conditionalFormatting xmlns:xm="http://schemas.microsoft.com/office/excel/2006/main">
          <x14:cfRule type="dataBar" id="{692C9A8C-B62F-4CA6-9915-904674FC56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B002EED4-E487-4D05-8B3D-934BF7FBED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  <x14:conditionalFormatting xmlns:xm="http://schemas.microsoft.com/office/excel/2006/main">
          <x14:cfRule type="dataBar" id="{D3FA6D16-8E03-49FA-807A-D3939164B0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H61:H72</xm:sqref>
        </x14:conditionalFormatting>
        <x14:conditionalFormatting xmlns:xm="http://schemas.microsoft.com/office/excel/2006/main">
          <x14:cfRule type="dataBar" id="{A56BD415-403D-4CD3-944A-545CD562E84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H77:H88</xm:sqref>
        </x14:conditionalFormatting>
        <x14:conditionalFormatting xmlns:xm="http://schemas.microsoft.com/office/excel/2006/main">
          <x14:cfRule type="dataBar" id="{F5AD6D4B-0201-4065-8293-A036AEFBBA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H93:H104</xm:sqref>
        </x14:conditionalFormatting>
        <x14:conditionalFormatting xmlns:xm="http://schemas.microsoft.com/office/excel/2006/main">
          <x14:cfRule type="dataBar" id="{6BDD8275-1E90-466F-A9A7-82825720B0A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H109:H120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171"/>
    <col min="18" max="18" width="14.375" style="171" customWidth="1"/>
    <col min="19" max="19" width="9" style="171"/>
    <col min="20" max="20" width="15.25" style="171" customWidth="1"/>
    <col min="21" max="21" width="17.75" style="171" customWidth="1"/>
    <col min="22" max="22" width="11.25" style="171" customWidth="1"/>
    <col min="23" max="23" width="40" style="171" customWidth="1"/>
    <col min="24" max="24" width="12.875" style="171" customWidth="1"/>
    <col min="25" max="16384" width="9" style="171"/>
  </cols>
  <sheetData>
    <row r="1" spans="1:38" x14ac:dyDescent="0.2">
      <c r="A1" s="170"/>
      <c r="B1" s="170"/>
      <c r="C1" s="170" t="s">
        <v>2</v>
      </c>
      <c r="D1" s="171">
        <v>1</v>
      </c>
      <c r="E1" s="171">
        <v>2</v>
      </c>
      <c r="F1" s="171">
        <v>3</v>
      </c>
      <c r="G1" s="171">
        <v>4</v>
      </c>
      <c r="H1" s="171">
        <v>5</v>
      </c>
      <c r="I1" s="171">
        <v>6</v>
      </c>
      <c r="J1" s="171">
        <v>7</v>
      </c>
      <c r="K1" s="171">
        <v>8</v>
      </c>
      <c r="L1" s="171">
        <v>9</v>
      </c>
      <c r="M1" s="171">
        <v>10</v>
      </c>
      <c r="N1" s="171">
        <v>11</v>
      </c>
      <c r="O1" s="171">
        <v>12</v>
      </c>
      <c r="P1" s="172"/>
      <c r="Q1" s="173" t="str">
        <f>Main!B4</f>
        <v>ZSE</v>
      </c>
      <c r="R1" s="174" t="s">
        <v>3</v>
      </c>
      <c r="S1" s="174" t="s">
        <v>0</v>
      </c>
      <c r="T1" s="174" t="s">
        <v>1</v>
      </c>
      <c r="U1" s="172" t="s">
        <v>4</v>
      </c>
      <c r="V1" s="172"/>
      <c r="W1" s="174" t="s">
        <v>3</v>
      </c>
      <c r="X1" s="172" t="s">
        <v>4</v>
      </c>
      <c r="Y1" s="174" t="s">
        <v>0</v>
      </c>
      <c r="Z1" s="174" t="s">
        <v>1</v>
      </c>
      <c r="AA1" s="172" t="s">
        <v>5</v>
      </c>
      <c r="AB1" s="172" t="s">
        <v>5</v>
      </c>
      <c r="AC1" s="175"/>
      <c r="AD1" s="172" t="s">
        <v>5</v>
      </c>
    </row>
    <row r="2" spans="1:38" x14ac:dyDescent="0.2">
      <c r="A2" s="170" t="str">
        <f>Q2</f>
        <v>ZSEX24</v>
      </c>
      <c r="B2" s="170" t="str">
        <f>RTD("cqg.rtd", ,"ContractData",A2, "ContractMonth")</f>
        <v>NOV</v>
      </c>
      <c r="C2" s="176" t="str">
        <f>IF(B2="Jan","F",IF(B2="Feb","G",IF(B2="Mar","H",IF(B2="Apr","J",IF(B2="May","K",IF(B2="JUN","M",IF(B2="Jul","N",IF(B2="Aug","Q",IF(B2="Sep","U",IF(B2="Oct","V",IF(B2="Nov","X",IF(B2="Dec","Z"))))))))))))&amp;RIGHT(A2,1)</f>
        <v>X4</v>
      </c>
      <c r="D2" s="171" t="str">
        <f>$Q$1&amp;$C$1&amp;$D$1&amp;$C2</f>
        <v>ZSES1X4</v>
      </c>
      <c r="E2" s="171" t="str">
        <f>$Q$1&amp;$C$1&amp;$D$1&amp;$C3</f>
        <v>ZSES1F5</v>
      </c>
      <c r="F2" s="171" t="str">
        <f>$Q$1&amp;$C$1&amp;$D$1&amp;$C4</f>
        <v>ZSES1H5</v>
      </c>
      <c r="G2" s="171" t="str">
        <f>$Q$1&amp;$C$1&amp;$D$1&amp;$C5</f>
        <v>ZSES1K5</v>
      </c>
      <c r="H2" s="171" t="str">
        <f>$Q$1&amp;$C$1&amp;$D$1&amp;$C6</f>
        <v>ZSES1N5</v>
      </c>
      <c r="I2" s="171" t="str">
        <f>$Q$1&amp;$C$1&amp;$D$1&amp;$C7</f>
        <v>ZSES1Q5</v>
      </c>
      <c r="J2" s="171" t="str">
        <f>$Q$1&amp;$C$1&amp;$D$1&amp;$C8</f>
        <v>ZSES1U5</v>
      </c>
      <c r="K2" s="171" t="str">
        <f>$Q$1&amp;$C$1&amp;$D$1&amp;$C9</f>
        <v>ZSES1X5</v>
      </c>
      <c r="L2" s="171" t="str">
        <f>$Q$1&amp;$C$1&amp;$D$1&amp;$C10</f>
        <v>ZSES1F6</v>
      </c>
      <c r="M2" s="171" t="str">
        <f>$Q$1&amp;$C$1&amp;$D$1&amp;$C11</f>
        <v>ZSES1H6</v>
      </c>
      <c r="N2" s="171" t="str">
        <f>$Q$1&amp;$C$1&amp;$D$1&amp;$C12</f>
        <v>ZSES1K6</v>
      </c>
      <c r="O2" s="171" t="str">
        <f>$Q$1&amp;$C$1&amp;$D$1&amp;$C13</f>
        <v>ZSES1N6</v>
      </c>
      <c r="P2" s="172" t="str">
        <f>LEFT(RIGHT(Q2,2),1)</f>
        <v>2</v>
      </c>
      <c r="Q2" s="177" t="str">
        <f>RTD("cqg.rtd", ,"ContractData", $Q$1&amp;"?"&amp;R35, "Symbol")</f>
        <v>ZSEX24</v>
      </c>
      <c r="R2" s="175">
        <f>RTD("cqg.rtd", ,"ContractData", Q2, $R$1,,"T")</f>
        <v>1017.25</v>
      </c>
      <c r="S2" s="178">
        <f>RTD("cqg.rtd", ,"ContractData", Q2,$S$1,,"T")</f>
        <v>1014.5</v>
      </c>
      <c r="T2" s="178">
        <f>RTD("cqg.rtd", ,"ContractData", Q2,$T$1,,"T")</f>
        <v>1016</v>
      </c>
      <c r="U2" s="175">
        <f>RTD("cqg.rtd", ,"ContractData", "F."&amp;$Q$1&amp;"?1", $U$1,,"T")</f>
        <v>-0.75</v>
      </c>
      <c r="V2" s="172" t="str">
        <f>D2</f>
        <v>ZSES1X4</v>
      </c>
      <c r="W2" s="175">
        <f>IF(LEFT(RTD("cqg.rtd", ,"ContractData", V2, $W$1,,"T"),3)="768",NA(),RTD("cqg.rtd", ,"ContractData", V2, $W$1,,"T"))</f>
        <v>-12.5</v>
      </c>
      <c r="X2" s="175">
        <f>RTD("cqg.rtd", ,"ContractData", V2, $X$1,,"T")</f>
        <v>2.25</v>
      </c>
      <c r="Y2" s="175">
        <f>RTD("cqg.rtd", ,"ContractData",V2,$Y$1,,"T")</f>
        <v>-12.5</v>
      </c>
      <c r="Z2" s="175">
        <f>RTD("cqg.rtd", ,"ContractData", V2,$Z$1,,"T")</f>
        <v>-11.25</v>
      </c>
      <c r="AA2" s="175">
        <f>IF(OR(W2="",W2&lt;Y2,W2&gt;Z2),(Y2+Z2)/2,W2)</f>
        <v>-12.5</v>
      </c>
      <c r="AB2" s="175">
        <f t="shared" ref="AB2:AB7" si="0">IF(OR(S2="",T2=""),R2,(IF(OR(R2="",R2&lt;S2,R2&gt;T2),(S2+T2)/2,R2)))</f>
        <v>1015.25</v>
      </c>
      <c r="AC2" s="175">
        <f>IF(OR(R2="",R2&lt;S2,R2&gt;T2),(S2+T2)/2,R2)</f>
        <v>1015.25</v>
      </c>
      <c r="AD2" s="175">
        <f>IF(OR(Y2="",Z2=""),W2,(IF(OR(W2="",W2&lt;Y2,W2&gt;Z2),(Y2+Z2)/2,W2)))</f>
        <v>-12.5</v>
      </c>
      <c r="AF2" s="171">
        <f>TEXT(IF(ISERROR(AC2),NA(),AC2),$E$29)*1</f>
        <v>1015.25</v>
      </c>
      <c r="AG2" s="171">
        <f>TEXT(IF(LEFT(AD2,3)="768",NA(),IF(AD2="",NA(),AD2)),$E$29)*1</f>
        <v>-12.5</v>
      </c>
      <c r="AH2" s="171" t="str">
        <f>IFERROR(RIGHT(RTD("cqg.rtd",,"ContractData",Q2,"LongDescription",,"T"),6),"")</f>
        <v>Nov 24</v>
      </c>
      <c r="AI2" s="181" t="str">
        <f>IFERROR(IF(LEFT(RTD("cqg.rtd",,"ContractData",V2,"LongDescription",,"T"),3)="768","",RIGHT(LEFT(RTD("cqg.rtd", ,"ContractData",V2, "LongDescription",, "T"),LEN(RTD("cqg.rtd", ,"ContractData",V2, "LongDescription",, "T"))-1),LEN(RTD("cqg.rtd", ,"ContractData",V2, "LongDescription",, "T"))-FIND(LEFT(V2,3),RTD("cqg.rtd", ,"ContractData",V2, "LongDescription",, "T"))+2)),"")</f>
        <v>1*ZSEX24-1*ZSEF25</v>
      </c>
      <c r="AJ2" s="171">
        <f>RTD("cqg.rtd", ,"ContractData",Q2, "Settlement",,"T")</f>
        <v>1016.75</v>
      </c>
      <c r="AK2" s="171">
        <f>RTD("cqg.rtd", ,"ContractData",V2, "Settlement",,"T")</f>
        <v>-13.5</v>
      </c>
      <c r="AL2" s="171">
        <f>IF(AJ2="",NA(),AJ2)</f>
        <v>1016.75</v>
      </c>
    </row>
    <row r="3" spans="1:38" x14ac:dyDescent="0.2">
      <c r="A3" s="170" t="str">
        <f t="shared" ref="A3:A13" si="1">Q3</f>
        <v>ZSEF25</v>
      </c>
      <c r="B3" s="170" t="str">
        <f>RTD("cqg.rtd", ,"ContractData",A3, "ContractMonth")</f>
        <v>JAN</v>
      </c>
      <c r="C3" s="176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F5</v>
      </c>
      <c r="D3" s="171" t="str">
        <f t="shared" ref="D3:D13" si="3">$Q$1&amp;$C$1&amp;$D$1&amp;$C3</f>
        <v>ZSES1F5</v>
      </c>
      <c r="P3" s="172" t="str">
        <f t="shared" ref="P3:P13" si="4">LEFT(RIGHT(Q3,2),1)</f>
        <v>2</v>
      </c>
      <c r="Q3" s="177" t="str">
        <f>IF(LEFT(RTD("cqg.rtd",,"ContractData",$Q$1&amp;"?"&amp;R36,"Symbol"),LEN($Q$1))=LEFT(RTD("cqg.rtd",,"ContractData",$Q$1&amp;"?"&amp;$R$35,"Symbol"),LEN($Q$1)),RTD("cqg.rtd",,"ContractData",$Q$1&amp;"?"&amp;R36,"Symbol"),NA())</f>
        <v>ZSEF25</v>
      </c>
      <c r="R3" s="175">
        <f>RTD("cqg.rtd", ,"ContractData", Q3, $R$1,,"T")</f>
        <v>1027.25</v>
      </c>
      <c r="S3" s="178">
        <f>RTD("cqg.rtd", ,"ContractData", Q3,$S$1,,"T")</f>
        <v>1027</v>
      </c>
      <c r="T3" s="178">
        <f>RTD("cqg.rtd", ,"ContractData", Q3,$T$1,,"T")</f>
        <v>1027.25</v>
      </c>
      <c r="U3" s="175">
        <f>RTD("cqg.rtd", ,"ContractData", "F."&amp;$Q$1&amp;"?2",  $U$1,,"T")</f>
        <v>-3</v>
      </c>
      <c r="V3" s="172" t="str">
        <f>E2</f>
        <v>ZSES1F5</v>
      </c>
      <c r="W3" s="175">
        <f>IF(LEFT(RTD("cqg.rtd", ,"ContractData", V3, $W$1,,"T"),3)="768",NA(),RTD("cqg.rtd", ,"ContractData", V3, $W$1,,"T"))</f>
        <v>-11.75</v>
      </c>
      <c r="X3" s="175">
        <f>RTD("cqg.rtd", ,"ContractData", V3, $X$1,,"T")</f>
        <v>1.5</v>
      </c>
      <c r="Y3" s="175">
        <f>RTD("cqg.rtd", ,"ContractData",V3,$Y$1,,"T")</f>
        <v>-12</v>
      </c>
      <c r="Z3" s="175">
        <f>RTD("cqg.rtd", ,"ContractData", V3,$Z$1,,"T")</f>
        <v>-11.75</v>
      </c>
      <c r="AA3" s="175">
        <f t="shared" ref="AA3:AA13" si="5">IF(OR(W3="",W3&lt;Y3,W3&gt;Z3),(Y3+Z3)/2,W3)</f>
        <v>-11.75</v>
      </c>
      <c r="AB3" s="175">
        <f t="shared" si="0"/>
        <v>1027.25</v>
      </c>
      <c r="AC3" s="175">
        <f>IF(OR(R3="",R3&lt;S3,R3&gt;T3),(S3+T3)/2,R3)</f>
        <v>1027.25</v>
      </c>
      <c r="AD3" s="175">
        <f t="shared" ref="AD3:AD13" si="6">IF(OR(Y3="",Z3=""),W3,(IF(OR(W3="",W3&lt;Y3,W3&gt;Z3),(Y3+Z3)/2,W3)))</f>
        <v>-11.75</v>
      </c>
      <c r="AF3" s="171">
        <f t="shared" ref="AF3:AF13" si="7">TEXT(IF(ISERROR(AC3),NA(),AC3),$E$29)*1</f>
        <v>1027.25</v>
      </c>
      <c r="AG3" s="171">
        <f t="shared" ref="AG3:AG13" si="8">TEXT(IF(LEFT(AD3,3)="768",NA(),IF(AD3="",NA(),AD3)),$E$29)*1</f>
        <v>-11.75</v>
      </c>
      <c r="AH3" s="171" t="str">
        <f>IFERROR(RIGHT(RTD("cqg.rtd",,"ContractData",Q3,"LongDescription",,"T"),6),"")</f>
        <v>Jan 25</v>
      </c>
      <c r="AI3" s="181" t="str">
        <f>IFERROR(IF(LEFT(RTD("cqg.rtd",,"ContractData",V3,"LongDescription",,"T"),3)="768","",RIGHT(LEFT(RTD("cqg.rtd", ,"ContractData",V3, "LongDescription",, "T"),LEN(RTD("cqg.rtd", ,"ContractData",V3, "LongDescription",, "T"))-1),LEN(RTD("cqg.rtd", ,"ContractData",V3, "LongDescription",, "T"))-FIND(LEFT(V3,3),RTD("cqg.rtd", ,"ContractData",V3, "LongDescription",, "T"))+2)),"")</f>
        <v>1*ZSEF25-1*ZSEH25</v>
      </c>
      <c r="AJ3" s="171">
        <f>RTD("cqg.rtd", ,"ContractData",Q3, "Settlement",,"T")</f>
        <v>1030.25</v>
      </c>
      <c r="AK3" s="171">
        <f>RTD("cqg.rtd", ,"ContractData",V3, "Settlement",,"T")</f>
        <v>-13.25</v>
      </c>
      <c r="AL3" s="171">
        <f t="shared" ref="AL3:AL13" si="9">IF(AJ3="",NA(),AJ3)</f>
        <v>1030.25</v>
      </c>
    </row>
    <row r="4" spans="1:38" x14ac:dyDescent="0.2">
      <c r="A4" s="170" t="str">
        <f t="shared" si="1"/>
        <v>ZSEH25</v>
      </c>
      <c r="B4" s="170" t="str">
        <f>RTD("cqg.rtd", ,"ContractData",A4, "ContractMonth")</f>
        <v>MAR</v>
      </c>
      <c r="C4" s="176" t="str">
        <f t="shared" si="2"/>
        <v>H5</v>
      </c>
      <c r="D4" s="171" t="str">
        <f t="shared" si="3"/>
        <v>ZSES1H5</v>
      </c>
      <c r="P4" s="172" t="str">
        <f t="shared" si="4"/>
        <v>2</v>
      </c>
      <c r="Q4" s="177" t="str">
        <f>IF(LEFT(RTD("cqg.rtd",,"ContractData",$Q$1&amp;"?"&amp;R37,"Symbol"),LEN($Q$1))=LEFT(RTD("cqg.rtd",,"ContractData",$Q$1&amp;"?"&amp;$R$35,"Symbol"),LEN($Q$1)),RTD("cqg.rtd",,"ContractData",$Q$1&amp;"?"&amp;R37,"Symbol"),NA())</f>
        <v>ZSEH25</v>
      </c>
      <c r="R4" s="175">
        <f>RTD("cqg.rtd", ,"ContractData", Q4, $R$1,,"T")</f>
        <v>1039</v>
      </c>
      <c r="S4" s="178">
        <f>RTD("cqg.rtd", ,"ContractData", Q4,$S$1,,"T")</f>
        <v>1038.75</v>
      </c>
      <c r="T4" s="178">
        <f>RTD("cqg.rtd", ,"ContractData", Q4,$T$1,,"T")</f>
        <v>1039</v>
      </c>
      <c r="U4" s="175">
        <f>RTD("cqg.rtd", ,"ContractData", "F."&amp;$Q$1&amp;"?3",  $U$1,,"T")</f>
        <v>-4.5</v>
      </c>
      <c r="V4" s="172" t="str">
        <f>F2</f>
        <v>ZSES1H5</v>
      </c>
      <c r="W4" s="175">
        <f>IF(LEFT(RTD("cqg.rtd", ,"ContractData", V4, $W$1,,"T"),3)="768",NA(),RTD("cqg.rtd", ,"ContractData", V4, $W$1,,"T"))</f>
        <v>-12.5</v>
      </c>
      <c r="X4" s="175">
        <f>RTD("cqg.rtd", ,"ContractData", V4, $X$1,,"T")</f>
        <v>0.75</v>
      </c>
      <c r="Y4" s="175">
        <f>RTD("cqg.rtd", ,"ContractData",V4,$Y$1,,"T")</f>
        <v>-12.75</v>
      </c>
      <c r="Z4" s="175">
        <f>RTD("cqg.rtd", ,"ContractData", V4,$Z$1,,"T")</f>
        <v>-12.5</v>
      </c>
      <c r="AA4" s="175">
        <f t="shared" si="5"/>
        <v>-12.5</v>
      </c>
      <c r="AB4" s="175">
        <f t="shared" si="0"/>
        <v>1039</v>
      </c>
      <c r="AC4" s="175">
        <f t="shared" ref="AC4:AC13" si="10">IF(OR(R4="",R4&lt;S4,R4&gt;T4),(S4+T4)/2,R4)</f>
        <v>1039</v>
      </c>
      <c r="AD4" s="175">
        <f t="shared" si="6"/>
        <v>-12.5</v>
      </c>
      <c r="AF4" s="171">
        <f t="shared" si="7"/>
        <v>1039</v>
      </c>
      <c r="AG4" s="171">
        <f t="shared" si="8"/>
        <v>-12.5</v>
      </c>
      <c r="AH4" s="171" t="str">
        <f>IFERROR(RIGHT(RTD("cqg.rtd",,"ContractData",Q4,"LongDescription",,"T"),6),"")</f>
        <v>Mar 25</v>
      </c>
      <c r="AI4" s="181" t="str">
        <f>IFERROR(IF(LEFT(RTD("cqg.rtd",,"ContractData",V4,"LongDescription",,"T"),3)="768","",RIGHT(LEFT(RTD("cqg.rtd", ,"ContractData",V4, "LongDescription",, "T"),LEN(RTD("cqg.rtd", ,"ContractData",V4, "LongDescription",, "T"))-1),LEN(RTD("cqg.rtd", ,"ContractData",V4, "LongDescription",, "T"))-FIND(LEFT(V4,3),RTD("cqg.rtd", ,"ContractData",V4, "LongDescription",, "T"))+2)),"")</f>
        <v>1*ZSEH25-1*ZSEK25</v>
      </c>
      <c r="AJ4" s="171">
        <f>RTD("cqg.rtd", ,"ContractData",Q4, "Settlement",,"T")</f>
        <v>1043.5</v>
      </c>
      <c r="AK4" s="171">
        <f>RTD("cqg.rtd", ,"ContractData",V4, "Settlement",,"T")</f>
        <v>-13.25</v>
      </c>
      <c r="AL4" s="171">
        <f t="shared" si="9"/>
        <v>1043.5</v>
      </c>
    </row>
    <row r="5" spans="1:38" x14ac:dyDescent="0.2">
      <c r="A5" s="170" t="str">
        <f t="shared" si="1"/>
        <v>ZSEK25</v>
      </c>
      <c r="B5" s="170" t="str">
        <f>RTD("cqg.rtd", ,"ContractData",A5, "ContractMonth")</f>
        <v>MAY</v>
      </c>
      <c r="C5" s="176" t="str">
        <f t="shared" si="2"/>
        <v>K5</v>
      </c>
      <c r="D5" s="171" t="str">
        <f t="shared" si="3"/>
        <v>ZSES1K5</v>
      </c>
      <c r="P5" s="172" t="str">
        <f t="shared" si="4"/>
        <v>2</v>
      </c>
      <c r="Q5" s="177" t="str">
        <f>IF(LEFT(RTD("cqg.rtd",,"ContractData",$Q$1&amp;"?"&amp;R38,"Symbol"),LEN($Q$1))=LEFT(RTD("cqg.rtd",,"ContractData",$Q$1&amp;"?"&amp;$R$35,"Symbol"),LEN($Q$1)),RTD("cqg.rtd",,"ContractData",$Q$1&amp;"?"&amp;R38,"Symbol"),NA())</f>
        <v>ZSEK25</v>
      </c>
      <c r="R5" s="175">
        <f>RTD("cqg.rtd", ,"ContractData", Q5, $R$1,,"T")</f>
        <v>1051.25</v>
      </c>
      <c r="S5" s="178">
        <f>RTD("cqg.rtd", ,"ContractData", Q5,$S$1,,"T")</f>
        <v>1051.25</v>
      </c>
      <c r="T5" s="178">
        <f>RTD("cqg.rtd", ,"ContractData", Q5,$T$1,,"T")</f>
        <v>1051.75</v>
      </c>
      <c r="U5" s="175">
        <f>RTD("cqg.rtd", ,"ContractData", "F."&amp;$Q$1&amp;"?4",  $U$1,,"T")</f>
        <v>-5</v>
      </c>
      <c r="V5" s="172" t="str">
        <f>G2</f>
        <v>ZSES1K5</v>
      </c>
      <c r="W5" s="175">
        <f>IF(LEFT(RTD("cqg.rtd", ,"ContractData", V5, $W$1,,"T"),3)="768",NA(),RTD("cqg.rtd", ,"ContractData", V5, $W$1,,"T"))</f>
        <v>-11</v>
      </c>
      <c r="X5" s="175">
        <f>RTD("cqg.rtd", ,"ContractData", V5, $X$1,,"T")</f>
        <v>0.5</v>
      </c>
      <c r="Y5" s="175">
        <f>RTD("cqg.rtd", ,"ContractData",V5,$Y$1,,"T")</f>
        <v>-11</v>
      </c>
      <c r="Z5" s="175">
        <f>RTD("cqg.rtd", ,"ContractData", V5,$Z$1,,"T")</f>
        <v>-10.75</v>
      </c>
      <c r="AA5" s="175">
        <f t="shared" si="5"/>
        <v>-11</v>
      </c>
      <c r="AB5" s="175">
        <f t="shared" si="0"/>
        <v>1051.25</v>
      </c>
      <c r="AC5" s="175">
        <f t="shared" si="10"/>
        <v>1051.25</v>
      </c>
      <c r="AD5" s="175">
        <f t="shared" si="6"/>
        <v>-11</v>
      </c>
      <c r="AF5" s="171">
        <f t="shared" si="7"/>
        <v>1051.25</v>
      </c>
      <c r="AG5" s="171">
        <f t="shared" si="8"/>
        <v>-11</v>
      </c>
      <c r="AH5" s="171" t="str">
        <f>IFERROR(RIGHT(RTD("cqg.rtd",,"ContractData",Q5,"LongDescription",,"T"),6),"")</f>
        <v>May 25</v>
      </c>
      <c r="AI5" s="181" t="str">
        <f>IFERROR(IF(LEFT(RTD("cqg.rtd",,"ContractData",V5,"LongDescription",,"T"),3)="768","",RIGHT(LEFT(RTD("cqg.rtd", ,"ContractData",V5, "LongDescription",, "T"),LEN(RTD("cqg.rtd", ,"ContractData",V5, "LongDescription",, "T"))-1),LEN(RTD("cqg.rtd", ,"ContractData",V5, "LongDescription",, "T"))-FIND(LEFT(V5,3),RTD("cqg.rtd", ,"ContractData",V5, "LongDescription",, "T"))+2)),"")</f>
        <v>1*ZSEK25-1*ZSEN25</v>
      </c>
      <c r="AJ5" s="171">
        <f>RTD("cqg.rtd", ,"ContractData",Q5, "Settlement",,"T")</f>
        <v>1056.75</v>
      </c>
      <c r="AK5" s="171">
        <f>RTD("cqg.rtd", ,"ContractData",V5, "Settlement",,"T")</f>
        <v>-11.5</v>
      </c>
      <c r="AL5" s="171">
        <f t="shared" si="9"/>
        <v>1056.75</v>
      </c>
    </row>
    <row r="6" spans="1:38" x14ac:dyDescent="0.2">
      <c r="A6" s="170" t="str">
        <f t="shared" si="1"/>
        <v>ZSEN25</v>
      </c>
      <c r="B6" s="170" t="str">
        <f>RTD("cqg.rtd", ,"ContractData",A6, "ContractMonth")</f>
        <v>JUL</v>
      </c>
      <c r="C6" s="176" t="str">
        <f t="shared" si="2"/>
        <v>N5</v>
      </c>
      <c r="D6" s="171" t="str">
        <f t="shared" si="3"/>
        <v>ZSES1N5</v>
      </c>
      <c r="P6" s="172" t="str">
        <f t="shared" si="4"/>
        <v>2</v>
      </c>
      <c r="Q6" s="177" t="str">
        <f>IF(LEFT(RTD("cqg.rtd",,"ContractData",$Q$1&amp;"?"&amp;R39,"Symbol"),LEN($Q$1))=LEFT(RTD("cqg.rtd",,"ContractData",$Q$1&amp;"?"&amp;$R$35,"Symbol"),LEN($Q$1)),RTD("cqg.rtd",,"ContractData",$Q$1&amp;"?"&amp;R39,"Symbol"),NA())</f>
        <v>ZSEN25</v>
      </c>
      <c r="R6" s="175">
        <f>RTD("cqg.rtd", ,"ContractData", Q6, $R$1,,"T")</f>
        <v>1062.5</v>
      </c>
      <c r="S6" s="178">
        <f>RTD("cqg.rtd", ,"ContractData", Q6,$S$1,,"T")</f>
        <v>1062.25</v>
      </c>
      <c r="T6" s="178">
        <f>RTD("cqg.rtd", ,"ContractData", Q6,$T$1,,"T")</f>
        <v>1062.75</v>
      </c>
      <c r="U6" s="175">
        <f>RTD("cqg.rtd", ,"ContractData", "F."&amp;$Q$1&amp;"?5",  $U$1,,"T")</f>
        <v>-5.5</v>
      </c>
      <c r="V6" s="172" t="str">
        <f>H2</f>
        <v>ZSES1N5</v>
      </c>
      <c r="W6" s="175">
        <f>IF(LEFT(RTD("cqg.rtd", ,"ContractData", V6, $W$1,,"T"),3)="768",NA(),RTD("cqg.rtd", ,"ContractData", V6, $W$1,,"T"))</f>
        <v>2</v>
      </c>
      <c r="X6" s="175">
        <f>RTD("cqg.rtd", ,"ContractData", V6, $X$1,,"T")</f>
        <v>1</v>
      </c>
      <c r="Y6" s="175">
        <f>RTD("cqg.rtd", ,"ContractData",V6,$Y$1,,"T")</f>
        <v>2</v>
      </c>
      <c r="Z6" s="175">
        <f>RTD("cqg.rtd", ,"ContractData", V6,$Z$1,,"T")</f>
        <v>2.25</v>
      </c>
      <c r="AA6" s="175">
        <f t="shared" si="5"/>
        <v>2</v>
      </c>
      <c r="AB6" s="175">
        <f t="shared" si="0"/>
        <v>1062.5</v>
      </c>
      <c r="AC6" s="175">
        <f t="shared" si="10"/>
        <v>1062.5</v>
      </c>
      <c r="AD6" s="175">
        <f t="shared" si="6"/>
        <v>2</v>
      </c>
      <c r="AF6" s="171">
        <f t="shared" si="7"/>
        <v>1062.5</v>
      </c>
      <c r="AG6" s="171">
        <f t="shared" si="8"/>
        <v>2</v>
      </c>
      <c r="AH6" s="171" t="str">
        <f>IFERROR(RIGHT(RTD("cqg.rtd",,"ContractData",Q6,"LongDescription",,"T"),6),"")</f>
        <v>Jul 25</v>
      </c>
      <c r="AI6" s="181" t="str">
        <f>IFERROR(IF(LEFT(RTD("cqg.rtd",,"ContractData",V6,"LongDescription",,"T"),3)="768","",RIGHT(LEFT(RTD("cqg.rtd", ,"ContractData",V6, "LongDescription",, "T"),LEN(RTD("cqg.rtd", ,"ContractData",V6, "LongDescription",, "T"))-1),LEN(RTD("cqg.rtd", ,"ContractData",V6, "LongDescription",, "T"))-FIND(LEFT(V6,3),RTD("cqg.rtd", ,"ContractData",V6, "LongDescription",, "T"))+2)),"")</f>
        <v>1*ZSEN25-1*ZSEQ25</v>
      </c>
      <c r="AJ6" s="171">
        <f>RTD("cqg.rtd", ,"ContractData",Q6, "Settlement",,"T")</f>
        <v>1068.25</v>
      </c>
      <c r="AK6" s="171">
        <f>RTD("cqg.rtd", ,"ContractData",V6, "Settlement",,"T")</f>
        <v>1</v>
      </c>
      <c r="AL6" s="171">
        <f t="shared" si="9"/>
        <v>1068.25</v>
      </c>
    </row>
    <row r="7" spans="1:38" x14ac:dyDescent="0.2">
      <c r="A7" s="170" t="str">
        <f t="shared" si="1"/>
        <v>ZSEQ25</v>
      </c>
      <c r="B7" s="170" t="str">
        <f>RTD("cqg.rtd", ,"ContractData",A7, "ContractMonth")</f>
        <v>AUG</v>
      </c>
      <c r="C7" s="176" t="str">
        <f t="shared" si="2"/>
        <v>Q5</v>
      </c>
      <c r="D7" s="171" t="str">
        <f t="shared" si="3"/>
        <v>ZSES1Q5</v>
      </c>
      <c r="P7" s="172" t="str">
        <f t="shared" si="4"/>
        <v>2</v>
      </c>
      <c r="Q7" s="177" t="str">
        <f>IF(LEFT(RTD("cqg.rtd",,"ContractData",$Q$1&amp;"?"&amp;R40,"Symbol"),LEN($Q$1))=LEFT(RTD("cqg.rtd",,"ContractData",$Q$1&amp;"?"&amp;$R$35,"Symbol"),LEN($Q$1)),RTD("cqg.rtd",,"ContractData",$Q$1&amp;"?"&amp;R40,"Symbol"),NA())</f>
        <v>ZSEQ25</v>
      </c>
      <c r="R7" s="175">
        <f>RTD("cqg.rtd", ,"ContractData", Q7, $R$1,,"T")</f>
        <v>1060.5</v>
      </c>
      <c r="S7" s="178">
        <f>RTD("cqg.rtd", ,"ContractData", Q7,$S$1,,"T")</f>
        <v>1060</v>
      </c>
      <c r="T7" s="178">
        <f>RTD("cqg.rtd", ,"ContractData", Q7,$T$1,,"T")</f>
        <v>1060.5</v>
      </c>
      <c r="U7" s="175">
        <f>RTD("cqg.rtd", ,"ContractData", "F."&amp;$Q$1&amp;"?6", $U$1,,"T")</f>
        <v>-7.25</v>
      </c>
      <c r="V7" s="172" t="str">
        <f>I2</f>
        <v>ZSES1Q5</v>
      </c>
      <c r="W7" s="175">
        <f>IF(LEFT(RTD("cqg.rtd", ,"ContractData", V7, $W$1,,"T"),3)="768",NA(),RTD("cqg.rtd", ,"ContractData", V7, $W$1,,"T"))</f>
        <v>15</v>
      </c>
      <c r="X7" s="175">
        <f>RTD("cqg.rtd", ,"ContractData", V7, $X$1,,"T")</f>
        <v>1.75</v>
      </c>
      <c r="Y7" s="175">
        <f>RTD("cqg.rtd", ,"ContractData",V7,$Y$1,,"T")</f>
        <v>14.75</v>
      </c>
      <c r="Z7" s="175">
        <f>RTD("cqg.rtd", ,"ContractData", V7,$Z$1,,"T")</f>
        <v>15</v>
      </c>
      <c r="AA7" s="175">
        <f t="shared" si="5"/>
        <v>15</v>
      </c>
      <c r="AB7" s="175">
        <f t="shared" si="0"/>
        <v>1060.5</v>
      </c>
      <c r="AC7" s="175">
        <f t="shared" si="10"/>
        <v>1060.5</v>
      </c>
      <c r="AD7" s="175">
        <f t="shared" si="6"/>
        <v>15</v>
      </c>
      <c r="AF7" s="171">
        <f t="shared" si="7"/>
        <v>1060.5</v>
      </c>
      <c r="AG7" s="171">
        <f t="shared" si="8"/>
        <v>15</v>
      </c>
      <c r="AH7" s="171" t="str">
        <f>IFERROR(RIGHT(RTD("cqg.rtd",,"ContractData",Q7,"LongDescription",,"T"),6),"")</f>
        <v>Aug 25</v>
      </c>
      <c r="AI7" s="181" t="str">
        <f>IFERROR(IF(LEFT(RTD("cqg.rtd",,"ContractData",V7,"LongDescription",,"T"),3)="768","",RIGHT(LEFT(RTD("cqg.rtd", ,"ContractData",V7, "LongDescription",, "T"),LEN(RTD("cqg.rtd", ,"ContractData",V7, "LongDescription",, "T"))-1),LEN(RTD("cqg.rtd", ,"ContractData",V7, "LongDescription",, "T"))-FIND(LEFT(V7,3),RTD("cqg.rtd", ,"ContractData",V7, "LongDescription",, "T"))+2)),"")</f>
        <v>1*ZSEQ25-1*ZSEU25</v>
      </c>
      <c r="AJ7" s="171">
        <f>RTD("cqg.rtd", ,"ContractData",Q7, "Settlement",,"T")</f>
        <v>1067.25</v>
      </c>
      <c r="AK7" s="171">
        <f>RTD("cqg.rtd", ,"ContractData",V7, "Settlement",,"T")</f>
        <v>13.25</v>
      </c>
      <c r="AL7" s="171">
        <f t="shared" si="9"/>
        <v>1067.25</v>
      </c>
    </row>
    <row r="8" spans="1:38" x14ac:dyDescent="0.2">
      <c r="A8" s="170" t="str">
        <f t="shared" si="1"/>
        <v>ZSEU25</v>
      </c>
      <c r="B8" s="170" t="str">
        <f>RTD("cqg.rtd", ,"ContractData",A8, "ContractMonth")</f>
        <v>SEP</v>
      </c>
      <c r="C8" s="176" t="str">
        <f t="shared" si="2"/>
        <v>U5</v>
      </c>
      <c r="D8" s="171" t="str">
        <f t="shared" si="3"/>
        <v>ZSES1U5</v>
      </c>
      <c r="P8" s="172" t="str">
        <f t="shared" si="4"/>
        <v>2</v>
      </c>
      <c r="Q8" s="177" t="str">
        <f>IF(LEFT(RTD("cqg.rtd",,"ContractData",$Q$1&amp;"?"&amp;R41,"Symbol"),LEN($Q$1))=LEFT(RTD("cqg.rtd",,"ContractData",$Q$1&amp;"?"&amp;$R$35,"Symbol"),LEN($Q$1)),RTD("cqg.rtd",,"ContractData",$Q$1&amp;"?"&amp;R41,"Symbol"),NA())</f>
        <v>ZSEU25</v>
      </c>
      <c r="R8" s="175">
        <f>RTD("cqg.rtd", ,"ContractData", Q8, $R$1,,"T")</f>
        <v>1046</v>
      </c>
      <c r="S8" s="178">
        <f>RTD("cqg.rtd", ,"ContractData", Q8,$S$1,,"T")</f>
        <v>1045</v>
      </c>
      <c r="T8" s="178">
        <f>RTD("cqg.rtd", ,"ContractData", Q8,$T$1,,"T")</f>
        <v>1045.5</v>
      </c>
      <c r="U8" s="175">
        <f>RTD("cqg.rtd", ,"ContractData", "F."&amp;$Q$1&amp;"?7", $U$1,,"T")</f>
        <v>-9</v>
      </c>
      <c r="V8" s="172" t="str">
        <f>J2</f>
        <v>ZSES1U5</v>
      </c>
      <c r="W8" s="175">
        <f>IF(LEFT(RTD("cqg.rtd", ,"ContractData", V8, $W$1,,"T"),3)="768",NA(),RTD("cqg.rtd", ,"ContractData", V8, $W$1,,"T"))</f>
        <v>2.5</v>
      </c>
      <c r="X8" s="175">
        <f>RTD("cqg.rtd", ,"ContractData", V8, $X$1,,"T")</f>
        <v>1.25</v>
      </c>
      <c r="Y8" s="175">
        <f>RTD("cqg.rtd", ,"ContractData",V8,$Y$1,,"T")</f>
        <v>2.25</v>
      </c>
      <c r="Z8" s="175">
        <f>RTD("cqg.rtd", ,"ContractData", V8,$Z$1,,"T")</f>
        <v>2.75</v>
      </c>
      <c r="AA8" s="175">
        <f t="shared" si="5"/>
        <v>2.5</v>
      </c>
      <c r="AB8" s="175">
        <f t="shared" ref="AB8:AB13" si="11">IF(OR(S8="",T8=""),R8,(IF(OR(R8="",R8&lt;S8,R8&gt;T8),(S8+T8)/2,R8)))</f>
        <v>1045.25</v>
      </c>
      <c r="AC8" s="175">
        <f t="shared" si="10"/>
        <v>1045.25</v>
      </c>
      <c r="AD8" s="175">
        <f t="shared" si="6"/>
        <v>2.5</v>
      </c>
      <c r="AF8" s="171">
        <f t="shared" si="7"/>
        <v>1045.25</v>
      </c>
      <c r="AG8" s="171">
        <f t="shared" si="8"/>
        <v>2.5</v>
      </c>
      <c r="AH8" s="171" t="str">
        <f>IFERROR(RIGHT(RTD("cqg.rtd",,"ContractData",Q8,"LongDescription",,"T"),6),"")</f>
        <v>Sep 25</v>
      </c>
      <c r="AI8" s="181" t="str">
        <f>IFERROR(IF(LEFT(RTD("cqg.rtd",,"ContractData",V8,"LongDescription",,"T"),3)="768","",RIGHT(LEFT(RTD("cqg.rtd", ,"ContractData",V8, "LongDescription",, "T"),LEN(RTD("cqg.rtd", ,"ContractData",V8, "LongDescription",, "T"))-1),LEN(RTD("cqg.rtd", ,"ContractData",V8, "LongDescription",, "T"))-FIND(LEFT(V8,3),RTD("cqg.rtd", ,"ContractData",V8, "LongDescription",, "T"))+2)),"")</f>
        <v>1*ZSEU25-1*ZSEX25</v>
      </c>
      <c r="AJ8" s="171">
        <f>RTD("cqg.rtd", ,"ContractData",Q8, "Settlement",,"T")</f>
        <v>1054</v>
      </c>
      <c r="AK8" s="171">
        <f>RTD("cqg.rtd", ,"ContractData",V8, "Settlement",,"T")</f>
        <v>1.5</v>
      </c>
      <c r="AL8" s="171">
        <f t="shared" si="9"/>
        <v>1054</v>
      </c>
    </row>
    <row r="9" spans="1:38" x14ac:dyDescent="0.2">
      <c r="A9" s="170" t="str">
        <f t="shared" si="1"/>
        <v>ZSEX25</v>
      </c>
      <c r="B9" s="170" t="str">
        <f>RTD("cqg.rtd", ,"ContractData",A9, "ContractMonth")</f>
        <v>NOV</v>
      </c>
      <c r="C9" s="176" t="str">
        <f t="shared" si="2"/>
        <v>X5</v>
      </c>
      <c r="D9" s="171" t="str">
        <f t="shared" si="3"/>
        <v>ZSES1X5</v>
      </c>
      <c r="P9" s="172" t="str">
        <f t="shared" si="4"/>
        <v>2</v>
      </c>
      <c r="Q9" s="177" t="str">
        <f>IF(LEFT(RTD("cqg.rtd",,"ContractData",$Q$1&amp;"?"&amp;R42,"Symbol"),LEN($Q$1))=LEFT(RTD("cqg.rtd",,"ContractData",$Q$1&amp;"?"&amp;$R$35,"Symbol"),LEN($Q$1)),RTD("cqg.rtd",,"ContractData",$Q$1&amp;"?"&amp;R42,"Symbol"),NA())</f>
        <v>ZSEX25</v>
      </c>
      <c r="R9" s="175">
        <f>RTD("cqg.rtd", ,"ContractData", Q9, $R$1,,"T")</f>
        <v>1043</v>
      </c>
      <c r="S9" s="178">
        <f>RTD("cqg.rtd", ,"ContractData", Q9,$S$1,,"T")</f>
        <v>1042.75</v>
      </c>
      <c r="T9" s="178">
        <f>RTD("cqg.rtd", ,"ContractData", Q9,$T$1,,"T")</f>
        <v>1043.25</v>
      </c>
      <c r="U9" s="175">
        <f>RTD("cqg.rtd", ,"ContractData", "F."&amp;$Q$1&amp;"?8", $U$1,,"T")</f>
        <v>-9.25</v>
      </c>
      <c r="V9" s="172" t="str">
        <f>K2</f>
        <v>ZSES1X5</v>
      </c>
      <c r="W9" s="175">
        <f>IF(LEFT(RTD("cqg.rtd", ,"ContractData", V9, $W$1,,"T"),3)="768",NA(),RTD("cqg.rtd", ,"ContractData", V9, $W$1,,"T"))</f>
        <v>-9.25</v>
      </c>
      <c r="X9" s="175">
        <f>RTD("cqg.rtd", ,"ContractData", V9, $X$1,,"T")</f>
        <v>0.25</v>
      </c>
      <c r="Y9" s="175">
        <f>RTD("cqg.rtd", ,"ContractData",V9,$Y$1,,"T")</f>
        <v>-9.25</v>
      </c>
      <c r="Z9" s="175">
        <f>RTD("cqg.rtd", ,"ContractData", V9,$Z$1,,"T")</f>
        <v>-9</v>
      </c>
      <c r="AA9" s="175">
        <f t="shared" si="5"/>
        <v>-9.25</v>
      </c>
      <c r="AB9" s="175">
        <f t="shared" si="11"/>
        <v>1043</v>
      </c>
      <c r="AC9" s="175">
        <f t="shared" si="10"/>
        <v>1043</v>
      </c>
      <c r="AD9" s="175">
        <f t="shared" si="6"/>
        <v>-9.25</v>
      </c>
      <c r="AF9" s="171">
        <f t="shared" si="7"/>
        <v>1043</v>
      </c>
      <c r="AG9" s="171">
        <f t="shared" si="8"/>
        <v>-9.25</v>
      </c>
      <c r="AH9" s="171" t="str">
        <f>IFERROR(RIGHT(RTD("cqg.rtd",,"ContractData",Q9,"LongDescription",,"T"),6),"")</f>
        <v>Nov 25</v>
      </c>
      <c r="AI9" s="181" t="str">
        <f>IFERROR(IF(LEFT(RTD("cqg.rtd",,"ContractData",V9,"LongDescription",,"T"),3)="768","",RIGHT(LEFT(RTD("cqg.rtd", ,"ContractData",V9, "LongDescription",, "T"),LEN(RTD("cqg.rtd", ,"ContractData",V9, "LongDescription",, "T"))-1),LEN(RTD("cqg.rtd", ,"ContractData",V9, "LongDescription",, "T"))-FIND(LEFT(V9,3),RTD("cqg.rtd", ,"ContractData",V9, "LongDescription",, "T"))+2)),"")</f>
        <v>1*ZSEX25-1*ZSEF26</v>
      </c>
      <c r="AJ9" s="171">
        <f>RTD("cqg.rtd", ,"ContractData",Q9, "Settlement",,"T")</f>
        <v>1052.5</v>
      </c>
      <c r="AK9" s="171">
        <f>RTD("cqg.rtd", ,"ContractData",V9, "Settlement",,"T")</f>
        <v>-9.25</v>
      </c>
      <c r="AL9" s="171">
        <f t="shared" si="9"/>
        <v>1052.5</v>
      </c>
    </row>
    <row r="10" spans="1:38" x14ac:dyDescent="0.2">
      <c r="A10" s="170" t="str">
        <f t="shared" si="1"/>
        <v>ZSEF26</v>
      </c>
      <c r="B10" s="170" t="str">
        <f>RTD("cqg.rtd", ,"ContractData",A10, "ContractMonth")</f>
        <v>JAN</v>
      </c>
      <c r="C10" s="176" t="str">
        <f t="shared" si="2"/>
        <v>F6</v>
      </c>
      <c r="D10" s="171" t="str">
        <f t="shared" si="3"/>
        <v>ZSES1F6</v>
      </c>
      <c r="P10" s="172" t="str">
        <f t="shared" si="4"/>
        <v>2</v>
      </c>
      <c r="Q10" s="177" t="str">
        <f>IF(LEFT(RTD("cqg.rtd",,"ContractData",$Q$1&amp;"?"&amp;R43,"Symbol"),LEN($Q$1))=LEFT(RTD("cqg.rtd",,"ContractData",$Q$1&amp;"?"&amp;$R$35,"Symbol"),LEN($Q$1)),RTD("cqg.rtd",,"ContractData",$Q$1&amp;"?"&amp;R43,"Symbol"),NA())</f>
        <v>ZSEF26</v>
      </c>
      <c r="R10" s="175">
        <f>RTD("cqg.rtd", ,"ContractData", Q10, $R$1,,"T")</f>
        <v>1052.25</v>
      </c>
      <c r="S10" s="178">
        <f>RTD("cqg.rtd", ,"ContractData", Q10,$S$1,,"T")</f>
        <v>1051.75</v>
      </c>
      <c r="T10" s="178">
        <f>RTD("cqg.rtd", ,"ContractData", Q10,$T$1,,"T")</f>
        <v>1052.5</v>
      </c>
      <c r="U10" s="175">
        <f>RTD("cqg.rtd", ,"ContractData", "F."&amp;$Q$1&amp;"?9", $U$1,,"T")</f>
        <v>-9.25</v>
      </c>
      <c r="V10" s="172" t="str">
        <f>L2</f>
        <v>ZSES1F6</v>
      </c>
      <c r="W10" s="175">
        <f>IF(LEFT(RTD("cqg.rtd", ,"ContractData", V10, $W$1,,"T"),3)="768",NA(),RTD("cqg.rtd", ,"ContractData", V10, $W$1,,"T"))</f>
        <v>0.25</v>
      </c>
      <c r="X10" s="175">
        <f>RTD("cqg.rtd", ,"ContractData", V10, $X$1,,"T")</f>
        <v>0.5</v>
      </c>
      <c r="Y10" s="175">
        <f>RTD("cqg.rtd", ,"ContractData",V10,$Y$1,,"T")</f>
        <v>0</v>
      </c>
      <c r="Z10" s="175">
        <f>RTD("cqg.rtd", ,"ContractData", V10,$Z$1,,"T")</f>
        <v>0.5</v>
      </c>
      <c r="AA10" s="175">
        <f t="shared" si="5"/>
        <v>0.25</v>
      </c>
      <c r="AB10" s="175">
        <f t="shared" si="11"/>
        <v>1052.25</v>
      </c>
      <c r="AC10" s="175">
        <f t="shared" si="10"/>
        <v>1052.25</v>
      </c>
      <c r="AD10" s="175">
        <f t="shared" si="6"/>
        <v>0.25</v>
      </c>
      <c r="AF10" s="171">
        <f t="shared" si="7"/>
        <v>1052.25</v>
      </c>
      <c r="AG10" s="171">
        <f t="shared" si="8"/>
        <v>0.25</v>
      </c>
      <c r="AH10" s="171" t="str">
        <f>IFERROR(RIGHT(RTD("cqg.rtd",,"ContractData",Q10,"LongDescription",,"T"),6),"")</f>
        <v>Jan 26</v>
      </c>
      <c r="AI10" s="181" t="str">
        <f>IFERROR(IF(LEFT(RTD("cqg.rtd",,"ContractData",V10,"LongDescription",,"T"),3)="768","",RIGHT(LEFT(RTD("cqg.rtd", ,"ContractData",V10, "LongDescription",, "T"),LEN(RTD("cqg.rtd", ,"ContractData",V10, "LongDescription",, "T"))-1),LEN(RTD("cqg.rtd", ,"ContractData",V10, "LongDescription",, "T"))-FIND(LEFT(V10,3),RTD("cqg.rtd", ,"ContractData",V10, "LongDescription",, "T"))+2)),"")</f>
        <v>1*ZSEF26-1*ZSEH26</v>
      </c>
      <c r="AJ10" s="171">
        <f>RTD("cqg.rtd", ,"ContractData",Q10, "Settlement",,"T")</f>
        <v>1061.75</v>
      </c>
      <c r="AK10" s="171">
        <f>RTD("cqg.rtd", ,"ContractData",V10, "Settlement",,"T")</f>
        <v>0</v>
      </c>
      <c r="AL10" s="171">
        <f t="shared" si="9"/>
        <v>1061.75</v>
      </c>
    </row>
    <row r="11" spans="1:38" x14ac:dyDescent="0.2">
      <c r="A11" s="170" t="str">
        <f t="shared" si="1"/>
        <v>ZSEH26</v>
      </c>
      <c r="B11" s="170" t="str">
        <f>RTD("cqg.rtd", ,"ContractData",A11, "ContractMonth")</f>
        <v>MAR</v>
      </c>
      <c r="C11" s="176" t="str">
        <f t="shared" si="2"/>
        <v>H6</v>
      </c>
      <c r="D11" s="171" t="str">
        <f t="shared" si="3"/>
        <v>ZSES1H6</v>
      </c>
      <c r="P11" s="172" t="str">
        <f t="shared" si="4"/>
        <v>2</v>
      </c>
      <c r="Q11" s="177" t="str">
        <f>IF(LEFT(RTD("cqg.rtd",,"ContractData",$Q$1&amp;"?"&amp;R44,"Symbol"),LEN($Q$1))=LEFT(RTD("cqg.rtd",,"ContractData",$Q$1&amp;"?"&amp;$R$35,"Symbol"),LEN($Q$1)),RTD("cqg.rtd",,"ContractData",$Q$1&amp;"?"&amp;R44,"Symbol"),NA())</f>
        <v>ZSEH26</v>
      </c>
      <c r="R11" s="175">
        <f>RTD("cqg.rtd", ,"ContractData", Q11, $R$1,,"T")</f>
        <v>1051.75</v>
      </c>
      <c r="S11" s="178">
        <f>RTD("cqg.rtd", ,"ContractData", Q11,$S$1,,"T")</f>
        <v>1051.25</v>
      </c>
      <c r="T11" s="178">
        <f>RTD("cqg.rtd", ,"ContractData", Q11,$T$1,,"T")</f>
        <v>1052.25</v>
      </c>
      <c r="U11" s="175">
        <f>RTD("cqg.rtd", ,"ContractData", "F."&amp;$Q$1&amp;"?10", $U$1,,"T")</f>
        <v>-9.5</v>
      </c>
      <c r="V11" s="172" t="str">
        <f>M2</f>
        <v>ZSES1H6</v>
      </c>
      <c r="W11" s="175">
        <f>IF(LEFT(RTD("cqg.rtd", ,"ContractData", V11, $W$1,,"T"),3)="768",NA(),RTD("cqg.rtd", ,"ContractData", V11, $W$1,,"T"))</f>
        <v>-5.5</v>
      </c>
      <c r="X11" s="175">
        <f>RTD("cqg.rtd", ,"ContractData", V11, $X$1,,"T")</f>
        <v>0.5</v>
      </c>
      <c r="Y11" s="175">
        <f>RTD("cqg.rtd", ,"ContractData",V11,$Y$1,,"T")</f>
        <v>-5.5</v>
      </c>
      <c r="Z11" s="175">
        <f>RTD("cqg.rtd", ,"ContractData", V11,$Z$1,,"T")</f>
        <v>-5</v>
      </c>
      <c r="AA11" s="175">
        <f t="shared" si="5"/>
        <v>-5.5</v>
      </c>
      <c r="AB11" s="175">
        <f t="shared" si="11"/>
        <v>1051.75</v>
      </c>
      <c r="AC11" s="175">
        <f t="shared" si="10"/>
        <v>1051.75</v>
      </c>
      <c r="AD11" s="175">
        <f t="shared" si="6"/>
        <v>-5.5</v>
      </c>
      <c r="AF11" s="171">
        <f t="shared" si="7"/>
        <v>1051.75</v>
      </c>
      <c r="AG11" s="171">
        <f t="shared" si="8"/>
        <v>-5.5</v>
      </c>
      <c r="AH11" s="171" t="str">
        <f>IFERROR(RIGHT(RTD("cqg.rtd",,"ContractData",Q11,"LongDescription",,"T"),6),"")</f>
        <v>Mar 26</v>
      </c>
      <c r="AI11" s="181" t="str">
        <f>IFERROR(IF(LEFT(RTD("cqg.rtd",,"ContractData",V11,"LongDescription",,"T"),3)="768","",RIGHT(LEFT(RTD("cqg.rtd", ,"ContractData",V11, "LongDescription",, "T"),LEN(RTD("cqg.rtd", ,"ContractData",V11, "LongDescription",, "T"))-1),LEN(RTD("cqg.rtd", ,"ContractData",V11, "LongDescription",, "T"))-FIND(LEFT(V11,3),RTD("cqg.rtd", ,"ContractData",V11, "LongDescription",, "T"))+2)),"")</f>
        <v>1*ZSEH26-1*ZSEK26</v>
      </c>
      <c r="AJ11" s="171">
        <f>RTD("cqg.rtd", ,"ContractData",Q11, "Settlement",,"T")</f>
        <v>1061.75</v>
      </c>
      <c r="AK11" s="171">
        <f>RTD("cqg.rtd", ,"ContractData",V11, "Settlement",,"T")</f>
        <v>-6</v>
      </c>
      <c r="AL11" s="171">
        <f t="shared" si="9"/>
        <v>1061.75</v>
      </c>
    </row>
    <row r="12" spans="1:38" x14ac:dyDescent="0.2">
      <c r="A12" s="170" t="str">
        <f t="shared" si="1"/>
        <v>ZSEK26</v>
      </c>
      <c r="B12" s="170" t="str">
        <f>RTD("cqg.rtd", ,"ContractData",A12, "ContractMonth")</f>
        <v>MAY</v>
      </c>
      <c r="C12" s="176" t="str">
        <f t="shared" si="2"/>
        <v>K6</v>
      </c>
      <c r="D12" s="171" t="str">
        <f t="shared" si="3"/>
        <v>ZSES1K6</v>
      </c>
      <c r="P12" s="172" t="str">
        <f t="shared" si="4"/>
        <v>2</v>
      </c>
      <c r="Q12" s="177" t="str">
        <f>IF(LEFT(RTD("cqg.rtd",,"ContractData",$Q$1&amp;"?"&amp;R45,"Symbol"),LEN($Q$1))=LEFT(RTD("cqg.rtd",,"ContractData",$Q$1&amp;"?"&amp;$R$35,"Symbol"),LEN($Q$1)),RTD("cqg.rtd",,"ContractData",$Q$1&amp;"?"&amp;R45,"Symbol"),NA())</f>
        <v>ZSEK26</v>
      </c>
      <c r="R12" s="175">
        <f>RTD("cqg.rtd", ,"ContractData", Q12, $R$1,,"T")</f>
        <v>1064</v>
      </c>
      <c r="S12" s="178">
        <f>RTD("cqg.rtd", ,"ContractData", Q12,$S$1,,"T")</f>
        <v>1056.25</v>
      </c>
      <c r="T12" s="178">
        <f>RTD("cqg.rtd", ,"ContractData", Q12,$T$1,,"T")</f>
        <v>1057.75</v>
      </c>
      <c r="U12" s="175">
        <f>RTD("cqg.rtd", ,"ContractData", "F."&amp;$Q$1&amp;"?11",$U$1,,"T")</f>
        <v>-10</v>
      </c>
      <c r="V12" s="172" t="str">
        <f>N2</f>
        <v>ZSES1K6</v>
      </c>
      <c r="W12" s="175">
        <f>IF(LEFT(RTD("cqg.rtd", ,"ContractData", V12, $W$1,,"T"),3)="768",NA(),RTD("cqg.rtd", ,"ContractData", V12, $W$1,,"T"))</f>
        <v>-7.5</v>
      </c>
      <c r="X12" s="175">
        <f>RTD("cqg.rtd", ,"ContractData", V12, $X$1,,"T")</f>
        <v>0.5</v>
      </c>
      <c r="Y12" s="175">
        <f>RTD("cqg.rtd", ,"ContractData",V12,$Y$1,,"T")</f>
        <v>-7.5</v>
      </c>
      <c r="Z12" s="175">
        <f>RTD("cqg.rtd", ,"ContractData", V12,$Z$1,,"T")</f>
        <v>-7.25</v>
      </c>
      <c r="AA12" s="175">
        <f t="shared" si="5"/>
        <v>-7.5</v>
      </c>
      <c r="AB12" s="175">
        <f t="shared" si="11"/>
        <v>1057</v>
      </c>
      <c r="AC12" s="175">
        <f t="shared" si="10"/>
        <v>1057</v>
      </c>
      <c r="AD12" s="175">
        <f t="shared" si="6"/>
        <v>-7.5</v>
      </c>
      <c r="AF12" s="171">
        <f t="shared" si="7"/>
        <v>1057</v>
      </c>
      <c r="AG12" s="171">
        <f t="shared" si="8"/>
        <v>-7.5</v>
      </c>
      <c r="AH12" s="171" t="str">
        <f>IFERROR(RIGHT(RTD("cqg.rtd",,"ContractData",Q12,"LongDescription",,"T"),6),"")</f>
        <v>May 26</v>
      </c>
      <c r="AI12" s="181" t="str">
        <f>IFERROR(IF(LEFT(RTD("cqg.rtd",,"ContractData",V12,"LongDescription",,"T"),3)="768","",RIGHT(LEFT(RTD("cqg.rtd", ,"ContractData",V12, "LongDescription",, "T"),LEN(RTD("cqg.rtd", ,"ContractData",V12, "LongDescription",, "T"))-1),LEN(RTD("cqg.rtd", ,"ContractData",V12, "LongDescription",, "T"))-FIND(LEFT(V12,3),RTD("cqg.rtd", ,"ContractData",V12, "LongDescription",, "T"))+2)),"")</f>
        <v>1*ZSEK26-1*ZSEN26</v>
      </c>
      <c r="AJ12" s="171">
        <f>RTD("cqg.rtd", ,"ContractData",Q12, "Settlement",,"T")</f>
        <v>1067.75</v>
      </c>
      <c r="AK12" s="171">
        <f>RTD("cqg.rtd", ,"ContractData",V12, "Settlement",,"T")</f>
        <v>-8</v>
      </c>
      <c r="AL12" s="171">
        <f t="shared" si="9"/>
        <v>1067.75</v>
      </c>
    </row>
    <row r="13" spans="1:38" x14ac:dyDescent="0.2">
      <c r="A13" s="170" t="str">
        <f t="shared" si="1"/>
        <v>ZSEN26</v>
      </c>
      <c r="B13" s="170" t="str">
        <f>RTD("cqg.rtd", ,"ContractData",A13, "ContractMonth")</f>
        <v>JUL</v>
      </c>
      <c r="C13" s="176" t="str">
        <f t="shared" si="2"/>
        <v>N6</v>
      </c>
      <c r="D13" s="171" t="str">
        <f t="shared" si="3"/>
        <v>ZSES1N6</v>
      </c>
      <c r="P13" s="172" t="str">
        <f t="shared" si="4"/>
        <v>2</v>
      </c>
      <c r="Q13" s="177" t="str">
        <f>IF(LEFT(RTD("cqg.rtd",,"ContractData",$Q$1&amp;"?"&amp;R46,"Symbol"),LEN($Q$1))=LEFT(RTD("cqg.rtd",,"ContractData",$Q$1&amp;"?"&amp;$R$35,"Symbol"),LEN($Q$1)),RTD("cqg.rtd",,"ContractData",$Q$1&amp;"?"&amp;R46,"Symbol"),NA())</f>
        <v>ZSEN26</v>
      </c>
      <c r="R13" s="175">
        <f>RTD("cqg.rtd", ,"ContractData", Q13, $R$1,,"T")</f>
        <v>1065.75</v>
      </c>
      <c r="S13" s="178">
        <f>RTD("cqg.rtd", ,"ContractData", Q13,$S$1,,"T")</f>
        <v>1063.5</v>
      </c>
      <c r="T13" s="178">
        <f>RTD("cqg.rtd", ,"ContractData", Q13,$T$1,,"T")</f>
        <v>1065.5</v>
      </c>
      <c r="U13" s="175">
        <f>RTD("cqg.rtd", ,"ContractData", "F."&amp;$Q$1&amp;"?12",$U$1,,"T")</f>
        <v>-12.25</v>
      </c>
      <c r="V13" s="172" t="str">
        <f>O2</f>
        <v>ZSES1N6</v>
      </c>
      <c r="W13" s="175" t="str">
        <f>IF(LEFT(RTD("cqg.rtd", ,"ContractData", V13, $W$1,,"T"),3)="768",NA(),RTD("cqg.rtd", ,"ContractData", V13, $W$1,,"T"))</f>
        <v/>
      </c>
      <c r="X13" s="175">
        <f>RTD("cqg.rtd", ,"ContractData", V13, $X$1,,"T")</f>
        <v>1.25</v>
      </c>
      <c r="Y13" s="175">
        <f>RTD("cqg.rtd", ,"ContractData",V13,$Y$1,,"T")</f>
        <v>2.75</v>
      </c>
      <c r="Z13" s="175">
        <f>RTD("cqg.rtd", ,"ContractData", V13,$Z$1,,"T")</f>
        <v>4.75</v>
      </c>
      <c r="AA13" s="175">
        <f t="shared" si="5"/>
        <v>3.75</v>
      </c>
      <c r="AB13" s="175">
        <f t="shared" si="11"/>
        <v>1064.5</v>
      </c>
      <c r="AC13" s="175">
        <f t="shared" si="10"/>
        <v>1064.5</v>
      </c>
      <c r="AD13" s="175">
        <f t="shared" si="6"/>
        <v>3.75</v>
      </c>
      <c r="AF13" s="171">
        <f t="shared" si="7"/>
        <v>1064.5</v>
      </c>
      <c r="AG13" s="171">
        <f t="shared" si="8"/>
        <v>3.75</v>
      </c>
      <c r="AH13" s="171" t="str">
        <f>IFERROR(RIGHT(RTD("cqg.rtd",,"ContractData",Q13,"LongDescription",,"T"),6),"")</f>
        <v>Jul 26</v>
      </c>
      <c r="AI13" s="181" t="str">
        <f>IFERROR(IF(LEFT(RTD("cqg.rtd",,"ContractData",V13,"LongDescription",,"T"),3)="768","",RIGHT(LEFT(RTD("cqg.rtd", ,"ContractData",V13, "LongDescription",, "T"),LEN(RTD("cqg.rtd", ,"ContractData",V13, "LongDescription",, "T"))-1),LEN(RTD("cqg.rtd", ,"ContractData",V13, "LongDescription",, "T"))-FIND(LEFT(V13,3),RTD("cqg.rtd", ,"ContractData",V13, "LongDescription",, "T"))+2)),"")</f>
        <v>1*ZSEN26-1*ZSEQ26</v>
      </c>
      <c r="AJ13" s="171">
        <f>RTD("cqg.rtd", ,"ContractData",Q13, "Settlement",,"T")</f>
        <v>1075.75</v>
      </c>
      <c r="AK13" s="171">
        <f>RTD("cqg.rtd", ,"ContractData",V13, "Settlement",,"T")</f>
        <v>3.5</v>
      </c>
      <c r="AL13" s="171">
        <f t="shared" si="9"/>
        <v>1075.75</v>
      </c>
    </row>
    <row r="14" spans="1:38" x14ac:dyDescent="0.2"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</row>
    <row r="15" spans="1:38" x14ac:dyDescent="0.2">
      <c r="E15" s="171" t="b">
        <v>0</v>
      </c>
      <c r="F15" s="171" t="s">
        <v>33</v>
      </c>
      <c r="G15" s="171" t="s">
        <v>34</v>
      </c>
      <c r="P15" s="172"/>
      <c r="Q15" s="172"/>
      <c r="R15" s="172"/>
      <c r="S15" s="172"/>
      <c r="T15" s="172"/>
      <c r="U15" s="172"/>
      <c r="AI15" s="171" t="str">
        <f>RIGHT(LEFT(RTD("cqg.rtd", ,"ContractData",V2, "LongDescription",, "T"),LEN(RTD("cqg.rtd", ,"ContractData",V2, "LongDescription",, "T"))-1),LEN(RTD("cqg.rtd", ,"ContractData",V2, "LongDescription",, "T"))-FIND(LEFT(V2,3),RTD("cqg.rtd", ,"ContractData",V2, "LongDescription",, "T"))+2)</f>
        <v>1*ZSEX24-1*ZSEF25</v>
      </c>
    </row>
    <row r="16" spans="1:38" x14ac:dyDescent="0.2">
      <c r="A16" s="171">
        <f>Main!K4</f>
        <v>10</v>
      </c>
      <c r="B16" s="171">
        <f>Main!L4</f>
        <v>15</v>
      </c>
      <c r="C16" s="171">
        <f>Main!M4</f>
        <v>2024</v>
      </c>
      <c r="D16" s="171" t="str">
        <f>Main!M5</f>
        <v>D</v>
      </c>
      <c r="E16" s="171">
        <f>TEXT(IF(RTD("cqg.rtd",,"StudyData","Close("&amp;$I16&amp;")when (LocalMonth("&amp;$I16&amp;")="&amp;$A$16&amp;" and LocalDay("&amp;$I16&amp;")="&amp;$B$16&amp;" and LocalYear("&amp;$Q2&amp;")="&amp;$C$16&amp;")","Bar","","Close",$D$16,"0","ALL","","",$E$15,$F$15)="",NA(),RTD("cqg.rtd",,"StudyData","Close("&amp;$I16&amp;")when (LocalMonth("&amp;$I16&amp;")="&amp;$A$16&amp;" and LocalDay("&amp;$I16&amp;")="&amp;$B$16&amp;" and LocalYear("&amp;$Q2&amp;")="&amp;$C$16&amp;")","Bar","","Close",$D$16,"0","ALL","","",$E$15,$F$15)),$E$29)*1</f>
        <v>991</v>
      </c>
      <c r="G16" s="171">
        <f>TEXT(IFERROR(AF2-E16,""),$E$29)*1</f>
        <v>24.25</v>
      </c>
      <c r="I16" s="171" t="str">
        <f>$Q$1&amp;"?"&amp;R35</f>
        <v>ZSE?1</v>
      </c>
      <c r="J16" s="171" t="str">
        <f>$Q$1&amp;"S1??"&amp;R35</f>
        <v>ZSES1??1</v>
      </c>
      <c r="K16" s="171">
        <f>TEXT(IF(LEFT(M16,3)="768",NA(),RTD("cqg.rtd",,"StudyData", "Close("&amp;$J16&amp;")when (LocalMonth("&amp;$J16&amp;")="&amp;$A$16&amp;" and LocalDay("&amp;$J16&amp;")="&amp;$B$16&amp;" and LocalYear("&amp;$J16&amp;")="&amp;$C$16&amp;")", "Bar", "", "Close",$D$16, "0","ALL","", "",$E$15,$F$15)),$E$29)*1</f>
        <v>-12.5</v>
      </c>
      <c r="L16" s="171">
        <f>IFERROR(AG2-K16,"")</f>
        <v>0</v>
      </c>
      <c r="M16" s="171" t="str">
        <f>RTD("cqg.rtd", ,"ContractData", J16,"Symbol",,"T")</f>
        <v>ZSES1X24</v>
      </c>
      <c r="N16" s="171" t="str">
        <f>RTD("cqg.rtd", ,"ContractData",J16, "LongDescription",, "T")</f>
        <v>SoyBean Calendar Spread 1, (1*ZSEX24-1*ZSEF25)</v>
      </c>
    </row>
    <row r="17" spans="5:29" x14ac:dyDescent="0.2">
      <c r="E17" s="171">
        <f>TEXT(IF(RTD("cqg.rtd",,"StudyData","Close("&amp;$I17&amp;")when (LocalMonth("&amp;$I17&amp;")="&amp;$A$16&amp;" and LocalDay("&amp;$I17&amp;")="&amp;$B$16&amp;" and LocalYear("&amp;$Q3&amp;")="&amp;$C$16&amp;")","Bar","","Close",$D$16,"0","ALL","","",$E$15,$F$15)="",NA(),RTD("cqg.rtd",,"StudyData","Close("&amp;$I17&amp;")when (LocalMonth("&amp;$I17&amp;")="&amp;$A$16&amp;" and LocalDay("&amp;$I17&amp;")="&amp;$B$16&amp;" and LocalYear("&amp;$Q3&amp;")="&amp;$C$16&amp;")","Bar","","Close",$D$16,"0","ALL","","",$E$15,$F$15)),$E$29)*1</f>
        <v>1003.5</v>
      </c>
      <c r="G17" s="171">
        <f t="shared" ref="G17:G27" si="12">TEXT(IFERROR(AF3-E17,""),$E$29)*1</f>
        <v>23.75</v>
      </c>
      <c r="I17" s="171" t="str">
        <f t="shared" ref="I17:I27" si="13">$Q$1&amp;"?"&amp;R36</f>
        <v>ZSE?2</v>
      </c>
      <c r="J17" s="171" t="str">
        <f t="shared" ref="J17:J27" si="14">$Q$1&amp;"S1??"&amp;R36</f>
        <v>ZSES1??2</v>
      </c>
      <c r="K17" s="171">
        <f>TEXT(IF(LEFT(M17,3)="768",NA(),RTD("cqg.rtd",,"StudyData", "Close("&amp;$J17&amp;")when (LocalMonth("&amp;$J17&amp;")="&amp;$A$16&amp;" and LocalDay("&amp;$J17&amp;")="&amp;$B$16&amp;" and LocalYear("&amp;$J17&amp;")="&amp;$C$16&amp;")", "Bar", "", "Close",$D$16, "0","ALL","", "",$E$15,$F$15)),$E$29)*1</f>
        <v>-13.25</v>
      </c>
      <c r="L17" s="171">
        <f t="shared" ref="L17:L27" si="15">IFERROR(AG3-K17,"")</f>
        <v>1.5</v>
      </c>
      <c r="M17" s="171" t="str">
        <f>RTD("cqg.rtd", ,"ContractData", J17,"Symbol",,"T")</f>
        <v>ZSES1F25</v>
      </c>
      <c r="N17" s="171" t="str">
        <f>RTD("cqg.rtd", ,"ContractData",J17, "LongDescription",, "T")</f>
        <v>SoyBean Calendar Spread 1, (1*ZSEF25-1*ZSEH25)</v>
      </c>
      <c r="AB17" s="179"/>
      <c r="AC17" s="179"/>
    </row>
    <row r="18" spans="5:29" x14ac:dyDescent="0.2">
      <c r="E18" s="171">
        <f>TEXT(IF(RTD("cqg.rtd",,"StudyData","Close("&amp;$I18&amp;")when (LocalMonth("&amp;$I18&amp;")="&amp;$A$16&amp;" and LocalDay("&amp;$I18&amp;")="&amp;$B$16&amp;" and LocalYear("&amp;$Q4&amp;")="&amp;$C$16&amp;")","Bar","","Close",$D$16,"0","ALL","","",$E$15,$F$15)="",NA(),RTD("cqg.rtd",,"StudyData","Close("&amp;$I18&amp;")when (LocalMonth("&amp;$I18&amp;")="&amp;$A$16&amp;" and LocalDay("&amp;$I18&amp;")="&amp;$B$16&amp;" and LocalYear("&amp;$Q4&amp;")="&amp;$C$16&amp;")","Bar","","Close",$D$16,"0","ALL","","",$E$15,$F$15)),$E$29)*1</f>
        <v>1016.75</v>
      </c>
      <c r="G18" s="171">
        <f t="shared" si="12"/>
        <v>22.25</v>
      </c>
      <c r="I18" s="171" t="str">
        <f t="shared" si="13"/>
        <v>ZSE?3</v>
      </c>
      <c r="J18" s="171" t="str">
        <f t="shared" si="14"/>
        <v>ZSES1??3</v>
      </c>
      <c r="K18" s="171">
        <f>TEXT(IF(LEFT(M18,3)="768",NA(),RTD("cqg.rtd",,"StudyData", "Close("&amp;$J18&amp;")when (LocalMonth("&amp;$J18&amp;")="&amp;$A$16&amp;" and LocalDay("&amp;$J18&amp;")="&amp;$B$16&amp;" and LocalYear("&amp;$J18&amp;")="&amp;$C$16&amp;")", "Bar", "", "Close",$D$16, "0","ALL","", "",$E$15,$F$15)),$E$29)*1</f>
        <v>-13.75</v>
      </c>
      <c r="L18" s="171">
        <f t="shared" si="15"/>
        <v>1.25</v>
      </c>
      <c r="M18" s="171" t="str">
        <f>RTD("cqg.rtd", ,"ContractData", J18,"Symbol",,"T")</f>
        <v>ZSES1H25</v>
      </c>
      <c r="N18" s="171" t="str">
        <f>RTD("cqg.rtd", ,"ContractData",J18, "LongDescription",, "T")</f>
        <v>SoyBean Calendar Spread 1, (1*ZSEH25-1*ZSEK25)</v>
      </c>
      <c r="W18" s="179"/>
      <c r="AB18" s="179"/>
      <c r="AC18" s="179"/>
    </row>
    <row r="19" spans="5:29" x14ac:dyDescent="0.2">
      <c r="E19" s="171">
        <f>TEXT(IF(RTD("cqg.rtd",,"StudyData","Close("&amp;$I19&amp;")when (LocalMonth("&amp;$I19&amp;")="&amp;$A$16&amp;" and LocalDay("&amp;$I19&amp;")="&amp;$B$16&amp;" and LocalYear("&amp;$Q5&amp;")="&amp;$C$16&amp;")","Bar","","Close",$D$16,"0","ALL","","",$E$15,$F$15)="",NA(),RTD("cqg.rtd",,"StudyData","Close("&amp;$I19&amp;")when (LocalMonth("&amp;$I19&amp;")="&amp;$A$16&amp;" and LocalDay("&amp;$I19&amp;")="&amp;$B$16&amp;" and LocalYear("&amp;$Q5&amp;")="&amp;$C$16&amp;")","Bar","","Close",$D$16,"0","ALL","","",$E$15,$F$15)),$E$29)*1</f>
        <v>1030.5</v>
      </c>
      <c r="G19" s="171">
        <f t="shared" si="12"/>
        <v>20.75</v>
      </c>
      <c r="I19" s="171" t="str">
        <f t="shared" si="13"/>
        <v>ZSE?4</v>
      </c>
      <c r="J19" s="171" t="str">
        <f t="shared" si="14"/>
        <v>ZSES1??4</v>
      </c>
      <c r="K19" s="171">
        <f>TEXT(IF(LEFT(M19,3)="768",NA(),RTD("cqg.rtd",,"StudyData", "Close("&amp;$J19&amp;")when (LocalMonth("&amp;$J19&amp;")="&amp;$A$16&amp;" and LocalDay("&amp;$J19&amp;")="&amp;$B$16&amp;" and LocalYear("&amp;$J19&amp;")="&amp;$C$16&amp;")", "Bar", "", "Close",$D$16, "0","ALL","", "",$E$15,$F$15)),$E$29)*1</f>
        <v>-10.75</v>
      </c>
      <c r="L19" s="171">
        <f t="shared" si="15"/>
        <v>-0.25</v>
      </c>
      <c r="M19" s="171" t="str">
        <f>RTD("cqg.rtd", ,"ContractData", J19,"Symbol",,"T")</f>
        <v>ZSES1K25</v>
      </c>
      <c r="N19" s="171" t="str">
        <f>RTD("cqg.rtd", ,"ContractData",J19, "LongDescription",, "T")</f>
        <v>SoyBean Calendar Spread 1, (1*ZSEK25-1*ZSEN25)</v>
      </c>
      <c r="AB19" s="179"/>
      <c r="AC19" s="179"/>
    </row>
    <row r="20" spans="5:29" x14ac:dyDescent="0.2">
      <c r="E20" s="171">
        <f>TEXT(IF(RTD("cqg.rtd",,"StudyData","Close("&amp;$I20&amp;")when (LocalMonth("&amp;$I20&amp;")="&amp;$A$16&amp;" and LocalDay("&amp;$I20&amp;")="&amp;$B$16&amp;" and LocalYear("&amp;$Q6&amp;")="&amp;$C$16&amp;")","Bar","","Close",$D$16,"0","ALL","","",$E$15,$F$15)="",NA(),RTD("cqg.rtd",,"StudyData","Close("&amp;$I20&amp;")when (LocalMonth("&amp;$I20&amp;")="&amp;$A$16&amp;" and LocalDay("&amp;$I20&amp;")="&amp;$B$16&amp;" and LocalYear("&amp;$Q6&amp;")="&amp;$C$16&amp;")","Bar","","Close",$D$16,"0","ALL","","",$E$15,$F$15)),$E$29)*1</f>
        <v>1041.25</v>
      </c>
      <c r="G20" s="171">
        <f t="shared" si="12"/>
        <v>21.25</v>
      </c>
      <c r="I20" s="171" t="str">
        <f t="shared" si="13"/>
        <v>ZSE?5</v>
      </c>
      <c r="J20" s="171" t="str">
        <f>$Q$1&amp;"S1??"&amp;R39</f>
        <v>ZSES1??5</v>
      </c>
      <c r="K20" s="171">
        <f>TEXT(IF(LEFT(M20,3)="768",NA(),RTD("cqg.rtd",,"StudyData", "Close("&amp;$J20&amp;")when (LocalMonth("&amp;$J20&amp;")="&amp;$A$16&amp;" and LocalDay("&amp;$J20&amp;")="&amp;$B$16&amp;" and LocalYear("&amp;$J20&amp;")="&amp;$C$16&amp;")", "Bar", "", "Close",$D$16, "0","ALL","", "",$E$15,$F$15)),$E$29)*1</f>
        <v>-0.25</v>
      </c>
      <c r="L20" s="171">
        <f t="shared" si="15"/>
        <v>2.25</v>
      </c>
      <c r="M20" s="171" t="str">
        <f>RTD("cqg.rtd", ,"ContractData", J20,"Symbol",,"T")</f>
        <v>ZSES1N25</v>
      </c>
      <c r="N20" s="171" t="str">
        <f>RTD("cqg.rtd", ,"ContractData",J20, "LongDescription",, "T")</f>
        <v>SoyBean Calendar Spread 1, (1*ZSEN25-1*ZSEQ25)</v>
      </c>
      <c r="U20" s="180"/>
      <c r="V20" s="180"/>
      <c r="AB20" s="179"/>
      <c r="AC20" s="179"/>
    </row>
    <row r="21" spans="5:29" x14ac:dyDescent="0.2">
      <c r="E21" s="171">
        <f>TEXT(IF(RTD("cqg.rtd",,"StudyData","Close("&amp;$I21&amp;")when (LocalMonth("&amp;$I21&amp;")="&amp;$A$16&amp;" and LocalDay("&amp;$I21&amp;")="&amp;$B$16&amp;" and LocalYear("&amp;$Q7&amp;")="&amp;$C$16&amp;")","Bar","","Close",$D$16,"0","ALL","","",$E$15,$F$15)="",NA(),RTD("cqg.rtd",,"StudyData","Close("&amp;$I21&amp;")when (LocalMonth("&amp;$I21&amp;")="&amp;$A$16&amp;" and LocalDay("&amp;$I21&amp;")="&amp;$B$16&amp;" and LocalYear("&amp;$Q7&amp;")="&amp;$C$16&amp;")","Bar","","Close",$D$16,"0","ALL","","",$E$15,$F$15)),$E$29)*1</f>
        <v>1041.5</v>
      </c>
      <c r="G21" s="171">
        <f t="shared" si="12"/>
        <v>19</v>
      </c>
      <c r="I21" s="171" t="str">
        <f t="shared" si="13"/>
        <v>ZSE?6</v>
      </c>
      <c r="J21" s="171" t="str">
        <f t="shared" si="14"/>
        <v>ZSES1??6</v>
      </c>
      <c r="K21" s="171">
        <f>TEXT(IF(LEFT(M21,3)="768",NA(),RTD("cqg.rtd",,"StudyData", "Close("&amp;$J21&amp;")when (LocalMonth("&amp;$J21&amp;")="&amp;$A$16&amp;" and LocalDay("&amp;$J21&amp;")="&amp;$B$16&amp;" and LocalYear("&amp;$J21&amp;")="&amp;$C$16&amp;")", "Bar", "", "Close",$D$16, "0","ALL","", "",$E$15,$F$15)),$E$29)*1</f>
        <v>8.25</v>
      </c>
      <c r="L21" s="171">
        <f t="shared" si="15"/>
        <v>6.75</v>
      </c>
      <c r="M21" s="171" t="str">
        <f>RTD("cqg.rtd", ,"ContractData", J21,"Symbol",,"T")</f>
        <v>ZSES1Q25</v>
      </c>
      <c r="N21" s="171" t="str">
        <f>RTD("cqg.rtd", ,"ContractData",J21, "LongDescription",, "T")</f>
        <v>SoyBean Calendar Spread 1, (1*ZSEQ25-1*ZSEU25)</v>
      </c>
      <c r="T21" s="179" t="str">
        <f>LEFT(RTD("cqg.rtd", ,"ContractData", $Q$1&amp;"?"&amp;R35, "Symbol"),3)</f>
        <v>ZSE</v>
      </c>
      <c r="U21" s="179"/>
      <c r="V21" s="179"/>
      <c r="X21" s="179"/>
      <c r="Y21" s="179"/>
      <c r="Z21" s="179"/>
      <c r="AB21" s="179"/>
      <c r="AC21" s="179"/>
    </row>
    <row r="22" spans="5:29" x14ac:dyDescent="0.2">
      <c r="E22" s="171">
        <f>TEXT(IF(RTD("cqg.rtd",,"StudyData","Close("&amp;$I22&amp;")when (LocalMonth("&amp;$I22&amp;")="&amp;$A$16&amp;" and LocalDay("&amp;$I22&amp;")="&amp;$B$16&amp;" and LocalYear("&amp;$Q8&amp;")="&amp;$C$16&amp;")","Bar","","Close",$D$16,"0","ALL","","",$E$15,$F$15)="",NA(),RTD("cqg.rtd",,"StudyData","Close("&amp;$I22&amp;")when (LocalMonth("&amp;$I22&amp;")="&amp;$A$16&amp;" and LocalDay("&amp;$I22&amp;")="&amp;$B$16&amp;" and LocalYear("&amp;$Q8&amp;")="&amp;$C$16&amp;")","Bar","","Close",$D$16,"0","ALL","","",$E$15,$F$15)),$E$29)*1</f>
        <v>1033.25</v>
      </c>
      <c r="G22" s="171">
        <f t="shared" si="12"/>
        <v>12</v>
      </c>
      <c r="I22" s="171" t="str">
        <f t="shared" si="13"/>
        <v>ZSE?7</v>
      </c>
      <c r="J22" s="171" t="str">
        <f t="shared" si="14"/>
        <v>ZSES1??7</v>
      </c>
      <c r="K22" s="171">
        <f>TEXT(IF(LEFT(M22,3)="768",NA(),RTD("cqg.rtd",,"StudyData", "Close("&amp;$J22&amp;")when (LocalMonth("&amp;$J22&amp;")="&amp;$A$16&amp;" and LocalDay("&amp;$J22&amp;")="&amp;$B$16&amp;" and LocalYear("&amp;$J22&amp;")="&amp;$C$16&amp;")", "Bar", "", "Close",$D$16, "0","ALL","", "",$E$15,$F$15)),$E$29)*1</f>
        <v>-2.5</v>
      </c>
      <c r="L22" s="171">
        <f t="shared" si="15"/>
        <v>5</v>
      </c>
      <c r="M22" s="171" t="str">
        <f>RTD("cqg.rtd", ,"ContractData", J22,"Symbol",,"T")</f>
        <v>ZSES1U25</v>
      </c>
      <c r="N22" s="171" t="str">
        <f>RTD("cqg.rtd", ,"ContractData",J22, "LongDescription",, "T")</f>
        <v>SoyBean Calendar Spread 1, (1*ZSEU25-1*ZSEX25)</v>
      </c>
      <c r="T22" s="179" t="str">
        <f>LEFT(RTD("cqg.rtd", ,"ContractData", $Q$1&amp;"?"&amp;R36, "Symbol"),3)</f>
        <v>ZSE</v>
      </c>
      <c r="U22" s="179"/>
      <c r="V22" s="179"/>
      <c r="X22" s="179"/>
      <c r="Y22" s="179"/>
      <c r="Z22" s="179"/>
      <c r="AB22" s="179"/>
      <c r="AC22" s="179"/>
    </row>
    <row r="23" spans="5:29" x14ac:dyDescent="0.2">
      <c r="E23" s="171">
        <f>TEXT(IF(RTD("cqg.rtd",,"StudyData","Close("&amp;$I23&amp;")when (LocalMonth("&amp;$I23&amp;")="&amp;$A$16&amp;" and LocalDay("&amp;$I23&amp;")="&amp;$B$16&amp;" and LocalYear("&amp;$Q9&amp;")="&amp;$C$16&amp;")","Bar","","Close",$D$16,"0","ALL","","",$E$15,$F$15)="",NA(),RTD("cqg.rtd",,"StudyData","Close("&amp;$I23&amp;")when (LocalMonth("&amp;$I23&amp;")="&amp;$A$16&amp;" and LocalDay("&amp;$I23&amp;")="&amp;$B$16&amp;" and LocalYear("&amp;$Q9&amp;")="&amp;$C$16&amp;")","Bar","","Close",$D$16,"0","ALL","","",$E$15,$F$15)),$E$29)*1</f>
        <v>1035.75</v>
      </c>
      <c r="G23" s="171">
        <f t="shared" si="12"/>
        <v>7.25</v>
      </c>
      <c r="I23" s="171" t="str">
        <f t="shared" si="13"/>
        <v>ZSE?8</v>
      </c>
      <c r="J23" s="171" t="str">
        <f t="shared" si="14"/>
        <v>ZSES1??8</v>
      </c>
      <c r="K23" s="171">
        <f>TEXT(IF(LEFT(M23,3)="768",NA(),RTD("cqg.rtd",,"StudyData", "Close("&amp;$J23&amp;")when (LocalMonth("&amp;$J23&amp;")="&amp;$A$16&amp;" and LocalDay("&amp;$J23&amp;")="&amp;$B$16&amp;" and LocalYear("&amp;$J23&amp;")="&amp;$C$16&amp;")", "Bar", "", "Close",$D$16, "0","ALL","", "",$E$15,$F$15)),$E$29)*1</f>
        <v>-11.5</v>
      </c>
      <c r="L23" s="171">
        <f t="shared" si="15"/>
        <v>2.25</v>
      </c>
      <c r="M23" s="171" t="str">
        <f>RTD("cqg.rtd", ,"ContractData", J23,"Symbol",,"T")</f>
        <v>ZSES1X25</v>
      </c>
      <c r="N23" s="171" t="str">
        <f>RTD("cqg.rtd", ,"ContractData",J23, "LongDescription",, "T")</f>
        <v>SoyBean Calendar Spread 1, (1*ZSEX25-1*ZSEF26)</v>
      </c>
      <c r="T23" s="179"/>
      <c r="U23" s="179"/>
      <c r="V23" s="179"/>
      <c r="X23" s="179"/>
      <c r="Y23" s="179"/>
      <c r="Z23" s="179"/>
      <c r="AB23" s="179"/>
      <c r="AC23" s="179"/>
    </row>
    <row r="24" spans="5:29" x14ac:dyDescent="0.2">
      <c r="E24" s="171">
        <f>TEXT(IF(RTD("cqg.rtd",,"StudyData","Close("&amp;$I24&amp;")when (LocalMonth("&amp;$I24&amp;")="&amp;$A$16&amp;" and LocalDay("&amp;$I24&amp;")="&amp;$B$16&amp;" and LocalYear("&amp;$Q10&amp;")="&amp;$C$16&amp;")","Bar","","Close",$D$16,"0","ALL","","",$E$15,$F$15)="",NA(),RTD("cqg.rtd",,"StudyData","Close("&amp;$I24&amp;")when (LocalMonth("&amp;$I24&amp;")="&amp;$A$16&amp;" and LocalDay("&amp;$I24&amp;")="&amp;$B$16&amp;" and LocalYear("&amp;$Q10&amp;")="&amp;$C$16&amp;")","Bar","","Close",$D$16,"0","ALL","","",$E$15,$F$15)),$E$29)*1</f>
        <v>1047.25</v>
      </c>
      <c r="G24" s="171">
        <f t="shared" si="12"/>
        <v>5</v>
      </c>
      <c r="I24" s="171" t="str">
        <f t="shared" si="13"/>
        <v>ZSE?9</v>
      </c>
      <c r="J24" s="171" t="str">
        <f t="shared" si="14"/>
        <v>ZSES1??9</v>
      </c>
      <c r="K24" s="171">
        <f>TEXT(IF(LEFT(M24,3)="768",NA(),RTD("cqg.rtd",,"StudyData", "Close("&amp;$J24&amp;")when (LocalMonth("&amp;$J24&amp;")="&amp;$A$16&amp;" and LocalDay("&amp;$J24&amp;")="&amp;$B$16&amp;" and LocalYear("&amp;$J24&amp;")="&amp;$C$16&amp;")", "Bar", "", "Close",$D$16, "0","ALL","", "",$E$15,$F$15)),$E$29)*1</f>
        <v>-3.5</v>
      </c>
      <c r="L24" s="171">
        <f t="shared" si="15"/>
        <v>3.75</v>
      </c>
      <c r="M24" s="171" t="str">
        <f>RTD("cqg.rtd", ,"ContractData", J24,"Symbol",,"T")</f>
        <v>ZSES1F26</v>
      </c>
      <c r="N24" s="171" t="str">
        <f>RTD("cqg.rtd", ,"ContractData",J24, "LongDescription",, "T")</f>
        <v>SoyBean Calendar Spread 1, (1*ZSEF26-1*ZSEH26)</v>
      </c>
      <c r="T24" s="179" t="str">
        <f>IF(LEFT(RTD("cqg.rtd",,"ContractData",$Q$1&amp;"?"&amp;R36,"Symbol"),3)=LEFT(RTD("cqg.rtd",,"ContractData",$Q$1&amp;"?"&amp;$R$35,"Symbol"),3),RTD("cqg.rtd",,"ContractData",$Q$1&amp;"?"&amp;R36,"Symbol"),NA())</f>
        <v>ZSEF25</v>
      </c>
      <c r="U24" s="179"/>
      <c r="V24" s="179"/>
      <c r="X24" s="179"/>
      <c r="Y24" s="179"/>
      <c r="Z24" s="179"/>
      <c r="AB24" s="179"/>
      <c r="AC24" s="179"/>
    </row>
    <row r="25" spans="5:29" x14ac:dyDescent="0.2">
      <c r="E25" s="171">
        <f>TEXT(IF(RTD("cqg.rtd",,"StudyData","Close("&amp;$I25&amp;")when (LocalMonth("&amp;$I25&amp;")="&amp;$A$16&amp;" and LocalDay("&amp;$I25&amp;")="&amp;$B$16&amp;" and LocalYear("&amp;$Q11&amp;")="&amp;$C$16&amp;")","Bar","","Close",$D$16,"0","ALL","","",$E$15,$F$15)="",NA(),RTD("cqg.rtd",,"StudyData","Close("&amp;$I25&amp;")when (LocalMonth("&amp;$I25&amp;")="&amp;$A$16&amp;" and LocalDay("&amp;$I25&amp;")="&amp;$B$16&amp;" and LocalYear("&amp;$Q11&amp;")="&amp;$C$16&amp;")","Bar","","Close",$D$16,"0","ALL","","",$E$15,$F$15)),$E$29)*1</f>
        <v>1050.75</v>
      </c>
      <c r="G25" s="171">
        <f t="shared" si="12"/>
        <v>1</v>
      </c>
      <c r="I25" s="171" t="str">
        <f t="shared" si="13"/>
        <v>ZSE?10</v>
      </c>
      <c r="J25" s="171" t="str">
        <f t="shared" si="14"/>
        <v>ZSES1??10</v>
      </c>
      <c r="K25" s="171">
        <f>TEXT(IF(LEFT(M25,3)="768",NA(),RTD("cqg.rtd",,"StudyData", "Close("&amp;$J25&amp;")when (LocalMonth("&amp;$J25&amp;")="&amp;$A$16&amp;" and LocalDay("&amp;$J25&amp;")="&amp;$B$16&amp;" and LocalYear("&amp;$J25&amp;")="&amp;$C$16&amp;")", "Bar", "", "Close",$D$16, "0","ALL","", "",$E$15,$F$15)),$E$29)*1</f>
        <v>-6.25</v>
      </c>
      <c r="L25" s="171">
        <f t="shared" si="15"/>
        <v>0.75</v>
      </c>
      <c r="M25" s="171" t="str">
        <f>RTD("cqg.rtd", ,"ContractData", J25,"Symbol",,"T")</f>
        <v>ZSES1H26</v>
      </c>
      <c r="N25" s="171" t="str">
        <f>RTD("cqg.rtd", ,"ContractData",J25, "LongDescription",, "T")</f>
        <v>SoyBean Calendar Spread 1, (1*ZSEH26-1*ZSEK26)</v>
      </c>
      <c r="T25" s="179" t="str">
        <f>IF(LEFT(RTD("cqg.rtd",,"ContractData",$Q$1&amp;"?"&amp;R37,"Symbol"),3)=LEFT(RTD("cqg.rtd",,"ContractData",$Q$1&amp;"?"&amp;$R$35,"Symbol"),3),RTD("cqg.rtd",,"ContractData",$Q$1&amp;"?"&amp;R37,"Symbol"),NA())</f>
        <v>ZSEH25</v>
      </c>
      <c r="U25" s="179"/>
      <c r="V25" s="179"/>
      <c r="X25" s="179"/>
      <c r="Y25" s="179"/>
      <c r="Z25" s="179"/>
    </row>
    <row r="26" spans="5:29" x14ac:dyDescent="0.2">
      <c r="E26" s="171">
        <f>TEXT(IF(RTD("cqg.rtd",,"StudyData","Close("&amp;$I26&amp;")when (LocalMonth("&amp;$I26&amp;")="&amp;$A$16&amp;" and LocalDay("&amp;$I26&amp;")="&amp;$B$16&amp;" and LocalYear("&amp;$Q12&amp;")="&amp;$C$16&amp;")","Bar","","Close",$D$16,"0","ALL","","",$E$15,$F$15)="",NA(),RTD("cqg.rtd",,"StudyData","Close("&amp;$I26&amp;")when (LocalMonth("&amp;$I26&amp;")="&amp;$A$16&amp;" and LocalDay("&amp;$I26&amp;")="&amp;$B$16&amp;" and LocalYear("&amp;$Q12&amp;")="&amp;$C$16&amp;")","Bar","","Close",$D$16,"0","ALL","","",$E$15,$F$15)),$E$29)*1</f>
        <v>1057</v>
      </c>
      <c r="G26" s="171">
        <f t="shared" si="12"/>
        <v>0</v>
      </c>
      <c r="I26" s="171" t="str">
        <f t="shared" si="13"/>
        <v>ZSE?11</v>
      </c>
      <c r="J26" s="171" t="str">
        <f t="shared" si="14"/>
        <v>ZSES1??11</v>
      </c>
      <c r="K26" s="171">
        <f>TEXT(IF(LEFT(M26,3)="768",NA(),RTD("cqg.rtd",,"StudyData", "Close("&amp;$J26&amp;")when (LocalMonth("&amp;$J26&amp;")="&amp;$A$16&amp;" and LocalDay("&amp;$J26&amp;")="&amp;$B$16&amp;" and LocalYear("&amp;$J26&amp;")="&amp;$C$16&amp;")", "Bar", "", "Close",$D$16, "0","ALL","", "",$E$15,$F$15)),$E$29)*1</f>
        <v>-7.75</v>
      </c>
      <c r="L26" s="171">
        <f t="shared" si="15"/>
        <v>0.25</v>
      </c>
      <c r="M26" s="171" t="str">
        <f>RTD("cqg.rtd", ,"ContractData", J26,"Symbol",,"T")</f>
        <v>ZSES1K26</v>
      </c>
      <c r="N26" s="171" t="str">
        <f>RTD("cqg.rtd", ,"ContractData",J26, "LongDescription",, "T")</f>
        <v>SoyBean Calendar Spread 1, (1*ZSEK26-1*ZSEN26)</v>
      </c>
      <c r="T26" s="179" t="str">
        <f>IF(LEFT(RTD("cqg.rtd",,"ContractData",$Q$1&amp;"?"&amp;R38,"Symbol"),3)=LEFT(RTD("cqg.rtd",,"ContractData",$Q$1&amp;"?"&amp;$R$35,"Symbol"),3),RTD("cqg.rtd",,"ContractData",$Q$1&amp;"?"&amp;R38,"Symbol"),NA())</f>
        <v>ZSEK25</v>
      </c>
      <c r="U26" s="179"/>
      <c r="V26" s="179"/>
      <c r="X26" s="179"/>
      <c r="Y26" s="179"/>
      <c r="Z26" s="179"/>
    </row>
    <row r="27" spans="5:29" x14ac:dyDescent="0.2">
      <c r="E27" s="171">
        <f>TEXT(IF(RTD("cqg.rtd",,"StudyData","Close("&amp;$I27&amp;")when (LocalMonth("&amp;$I27&amp;")="&amp;$A$16&amp;" and LocalDay("&amp;$I27&amp;")="&amp;$B$16&amp;" and LocalYear("&amp;$Q13&amp;")="&amp;$C$16&amp;")","Bar","","Close",$D$16,"0","ALL","","",$E$15,$F$15)="",NA(),RTD("cqg.rtd",,"StudyData","Close("&amp;$I27&amp;")when (LocalMonth("&amp;$I27&amp;")="&amp;$A$16&amp;" and LocalDay("&amp;$I27&amp;")="&amp;$B$16&amp;" and LocalYear("&amp;$Q13&amp;")="&amp;$C$16&amp;")","Bar","","Close",$D$16,"0","ALL","","",$E$15,$F$15)),$E$29)*1</f>
        <v>1064.75</v>
      </c>
      <c r="G27" s="171">
        <f t="shared" si="12"/>
        <v>-0.25</v>
      </c>
      <c r="I27" s="171" t="str">
        <f t="shared" si="13"/>
        <v>ZSE?12</v>
      </c>
      <c r="J27" s="171" t="str">
        <f t="shared" si="14"/>
        <v>ZSES1??12</v>
      </c>
      <c r="K27" s="171">
        <f>TEXT(IF(LEFT(M27,3)="768",NA(),RTD("cqg.rtd",,"StudyData", "Close("&amp;$J27&amp;")when (LocalMonth("&amp;$J27&amp;")="&amp;$A$16&amp;" and LocalDay("&amp;$J27&amp;")="&amp;$B$16&amp;" and LocalYear("&amp;$J27&amp;")="&amp;$C$16&amp;")", "Bar", "", "Close",$D$16, "0","ALL","", "",$E$15,$F$15)),$E$29)*1</f>
        <v>5.5</v>
      </c>
      <c r="L27" s="171">
        <f t="shared" si="15"/>
        <v>-1.75</v>
      </c>
      <c r="M27" s="171" t="str">
        <f>RTD("cqg.rtd", ,"ContractData", J27,"Symbol",,"T")</f>
        <v>ZSES1N26</v>
      </c>
      <c r="N27" s="171" t="str">
        <f>RTD("cqg.rtd", ,"ContractData",J27, "LongDescription",, "T")</f>
        <v>SoyBean Calendar Spread 1, (1*ZSEN26-1*ZSEQ26)</v>
      </c>
      <c r="T27" s="179" t="str">
        <f>IF(LEFT(RTD("cqg.rtd",,"ContractData",$Q$1&amp;"?"&amp;R39,"Symbol"),3)=LEFT(RTD("cqg.rtd",,"ContractData",$Q$1&amp;"?"&amp;$R$35,"Symbol"),3),RTD("cqg.rtd",,"ContractData",$Q$1&amp;"?"&amp;R39,"Symbol"),NA())</f>
        <v>ZSEN25</v>
      </c>
      <c r="U27" s="179"/>
      <c r="V27" s="179"/>
      <c r="X27" s="179"/>
      <c r="Y27" s="179"/>
      <c r="Z27" s="179"/>
    </row>
    <row r="28" spans="5:29" x14ac:dyDescent="0.2">
      <c r="T28" s="179" t="str">
        <f>IF(LEFT(RTD("cqg.rtd",,"ContractData",$Q$1&amp;"?"&amp;R40,"Symbol"),3)=LEFT(RTD("cqg.rtd",,"ContractData",$Q$1&amp;"?"&amp;$R$35,"Symbol"),3),RTD("cqg.rtd",,"ContractData",$Q$1&amp;"?"&amp;R40,"Symbol"),NA())</f>
        <v>ZSEQ25</v>
      </c>
      <c r="U28" s="179"/>
      <c r="V28" s="179"/>
      <c r="X28" s="179"/>
      <c r="Y28" s="179"/>
      <c r="Z28" s="179"/>
    </row>
    <row r="29" spans="5:29" x14ac:dyDescent="0.2">
      <c r="E29" s="179" t="str">
        <f>Main!$D$1</f>
        <v>#.00</v>
      </c>
      <c r="T29" s="179" t="str">
        <f>IF(LEFT(RTD("cqg.rtd",,"ContractData",$Q$1&amp;"?"&amp;R41,"Symbol"),3)=LEFT(RTD("cqg.rtd",,"ContractData",$Q$1&amp;"?"&amp;$R$35,"Symbol"),3),RTD("cqg.rtd",,"ContractData",$Q$1&amp;"?"&amp;R41,"Symbol"),NA())</f>
        <v>ZSEU25</v>
      </c>
      <c r="U29" s="179"/>
      <c r="V29" s="179"/>
      <c r="X29" s="179"/>
      <c r="Y29" s="179"/>
      <c r="Z29" s="179"/>
    </row>
    <row r="30" spans="5:29" x14ac:dyDescent="0.2">
      <c r="T30" s="179" t="str">
        <f>IF(LEFT(RTD("cqg.rtd",,"ContractData",$Q$1&amp;"?"&amp;R42,"Symbol"),3)=LEFT(RTD("cqg.rtd",,"ContractData",$Q$1&amp;"?"&amp;$R$35,"Symbol"),3),RTD("cqg.rtd",,"ContractData",$Q$1&amp;"?"&amp;R42,"Symbol"),NA())</f>
        <v>ZSEX25</v>
      </c>
      <c r="U30" s="179"/>
      <c r="V30" s="179"/>
      <c r="X30" s="179"/>
      <c r="Y30" s="179"/>
      <c r="Z30" s="179"/>
    </row>
    <row r="31" spans="5:29" x14ac:dyDescent="0.2">
      <c r="T31" s="179" t="str">
        <f>IF(LEFT(RTD("cqg.rtd",,"ContractData",$Q$1&amp;"?"&amp;R43,"Symbol"),3)=LEFT(RTD("cqg.rtd",,"ContractData",$Q$1&amp;"?"&amp;$R$35,"Symbol"),3),RTD("cqg.rtd",,"ContractData",$Q$1&amp;"?"&amp;R43,"Symbol"),NA())</f>
        <v>ZSEF26</v>
      </c>
      <c r="U31" s="179"/>
      <c r="V31" s="179"/>
      <c r="X31" s="179"/>
      <c r="Y31" s="179"/>
      <c r="Z31" s="179"/>
    </row>
    <row r="32" spans="5:29" x14ac:dyDescent="0.2">
      <c r="R32" s="171" t="s">
        <v>37</v>
      </c>
      <c r="T32" s="179" t="str">
        <f>IF(LEFT(RTD("cqg.rtd",,"ContractData",$Q$1&amp;"?"&amp;R44,"Symbol"),3)=LEFT(RTD("cqg.rtd",,"ContractData",$Q$1&amp;"?"&amp;$R$35,"Symbol"),3),RTD("cqg.rtd",,"ContractData",$Q$1&amp;"?"&amp;R44,"Symbol"),NA())</f>
        <v>ZSEH26</v>
      </c>
      <c r="U32" s="179"/>
      <c r="V32" s="179"/>
      <c r="X32" s="179"/>
      <c r="Y32" s="179"/>
      <c r="Z32" s="179"/>
    </row>
    <row r="33" spans="18:26" x14ac:dyDescent="0.2">
      <c r="T33" s="179" t="str">
        <f>IF(LEFT(RTD("cqg.rtd",,"ContractData",$Q$1&amp;"?"&amp;R45,"Symbol"),3)=LEFT(RTD("cqg.rtd",,"ContractData",$Q$1&amp;"?"&amp;$R$35,"Symbol"),3),RTD("cqg.rtd",,"ContractData",$Q$1&amp;"?"&amp;R45,"Symbol"),NA())</f>
        <v>ZSEK26</v>
      </c>
      <c r="U33" s="179"/>
      <c r="V33" s="179"/>
    </row>
    <row r="34" spans="18:26" x14ac:dyDescent="0.2">
      <c r="R34" s="171" t="s">
        <v>6</v>
      </c>
      <c r="T34" s="179" t="str">
        <f>IF(LEFT(RTD("cqg.rtd",,"ContractData",$Q$1&amp;"?"&amp;R46,"Symbol"),3)=LEFT(RTD("cqg.rtd",,"ContractData",$Q$1&amp;"?"&amp;$R$35,"Symbol"),3),RTD("cqg.rtd",,"ContractData",$Q$1&amp;"?"&amp;R46,"Symbol"),NA())</f>
        <v>ZSEN26</v>
      </c>
      <c r="U34" s="179"/>
      <c r="V34" s="179"/>
      <c r="X34" s="179"/>
      <c r="Y34" s="179"/>
      <c r="Z34" s="171" t="s">
        <v>17</v>
      </c>
    </row>
    <row r="35" spans="18:26" x14ac:dyDescent="0.2">
      <c r="R35" s="171">
        <v>1</v>
      </c>
      <c r="S35" s="171" t="str">
        <f>RTD("cqg.rtd",,"ContractData",Q1&amp;"?1", "Symbol")</f>
        <v>ZSEX24</v>
      </c>
      <c r="T35" s="179"/>
      <c r="U35" s="179"/>
      <c r="V35" s="179"/>
      <c r="X35" s="179"/>
      <c r="Y35" s="179"/>
      <c r="Z35" s="171" t="s">
        <v>18</v>
      </c>
    </row>
    <row r="36" spans="18:26" x14ac:dyDescent="0.2">
      <c r="R36" s="171">
        <f>R35+1</f>
        <v>2</v>
      </c>
      <c r="S36" s="171" t="str">
        <f>RTD("cqg.rtd",,"ContractData",Q1&amp;"?2", "Symbol")</f>
        <v>ZSEF25</v>
      </c>
      <c r="T36" s="179"/>
      <c r="U36" s="179"/>
      <c r="V36" s="179"/>
      <c r="X36" s="179"/>
      <c r="Y36" s="179"/>
      <c r="Z36" s="171" t="s">
        <v>19</v>
      </c>
    </row>
    <row r="37" spans="18:26" x14ac:dyDescent="0.2">
      <c r="R37" s="171">
        <f t="shared" ref="R37:R46" si="16">R36+1</f>
        <v>3</v>
      </c>
      <c r="T37" s="179"/>
      <c r="U37" s="179"/>
      <c r="V37" s="179"/>
      <c r="X37" s="179"/>
      <c r="Y37" s="179"/>
      <c r="Z37" s="171" t="s">
        <v>20</v>
      </c>
    </row>
    <row r="38" spans="18:26" x14ac:dyDescent="0.2">
      <c r="R38" s="171">
        <f t="shared" si="16"/>
        <v>4</v>
      </c>
      <c r="T38" s="179"/>
      <c r="U38" s="179"/>
      <c r="V38" s="179"/>
      <c r="X38" s="179"/>
      <c r="Y38" s="179"/>
      <c r="Z38" s="171" t="s">
        <v>21</v>
      </c>
    </row>
    <row r="39" spans="18:26" x14ac:dyDescent="0.2">
      <c r="R39" s="171">
        <f t="shared" si="16"/>
        <v>5</v>
      </c>
      <c r="T39" s="179"/>
      <c r="U39" s="179"/>
      <c r="V39" s="179"/>
      <c r="X39" s="179"/>
      <c r="Y39" s="179"/>
      <c r="Z39" s="171" t="s">
        <v>22</v>
      </c>
    </row>
    <row r="40" spans="18:26" x14ac:dyDescent="0.2">
      <c r="R40" s="171">
        <f t="shared" si="16"/>
        <v>6</v>
      </c>
      <c r="T40" s="179"/>
      <c r="U40" s="179"/>
      <c r="V40" s="179"/>
      <c r="X40" s="179"/>
      <c r="Y40" s="179"/>
      <c r="Z40" s="171" t="s">
        <v>23</v>
      </c>
    </row>
    <row r="41" spans="18:26" x14ac:dyDescent="0.2">
      <c r="R41" s="171">
        <f t="shared" si="16"/>
        <v>7</v>
      </c>
      <c r="T41" s="179"/>
      <c r="U41" s="179"/>
      <c r="V41" s="179"/>
      <c r="X41" s="179"/>
      <c r="Y41" s="179"/>
      <c r="Z41" s="171" t="s">
        <v>24</v>
      </c>
    </row>
    <row r="42" spans="18:26" x14ac:dyDescent="0.2">
      <c r="R42" s="171">
        <f t="shared" si="16"/>
        <v>8</v>
      </c>
      <c r="T42" s="179"/>
      <c r="U42" s="179"/>
      <c r="V42" s="179"/>
      <c r="X42" s="179"/>
      <c r="Y42" s="179"/>
      <c r="Z42" s="171" t="s">
        <v>25</v>
      </c>
    </row>
    <row r="43" spans="18:26" x14ac:dyDescent="0.2">
      <c r="R43" s="171">
        <f t="shared" si="16"/>
        <v>9</v>
      </c>
      <c r="T43" s="179"/>
      <c r="U43" s="179"/>
      <c r="V43" s="179"/>
      <c r="X43" s="179"/>
      <c r="Y43" s="179"/>
      <c r="Z43" s="171" t="s">
        <v>26</v>
      </c>
    </row>
    <row r="44" spans="18:26" x14ac:dyDescent="0.2">
      <c r="R44" s="171">
        <f t="shared" si="16"/>
        <v>10</v>
      </c>
      <c r="T44" s="179"/>
      <c r="U44" s="179"/>
      <c r="V44" s="179"/>
    </row>
    <row r="45" spans="18:26" x14ac:dyDescent="0.2">
      <c r="R45" s="171">
        <f t="shared" si="16"/>
        <v>11</v>
      </c>
    </row>
    <row r="46" spans="18:26" x14ac:dyDescent="0.2">
      <c r="R46" s="171">
        <f t="shared" si="16"/>
        <v>12</v>
      </c>
      <c r="Z46" s="179"/>
    </row>
  </sheetData>
  <sheetProtection algorithmName="SHA-512" hashValue="RzVWDKTND/8oKnOoVXoOU6HGCzxvSWVwm8wFE/5pJ96q7RAxfNqNH/k9GWXc77UbkdnZR7+1ce1hZb72Aqo8Uw==" saltValue="Dgalxcvz6BBN7EFEXhGT+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6"/>
  <sheetViews>
    <sheetView workbookViewId="0"/>
  </sheetViews>
  <sheetFormatPr defaultColWidth="9" defaultRowHeight="14.25" x14ac:dyDescent="0.2"/>
  <cols>
    <col min="1" max="17" width="9" style="171"/>
    <col min="18" max="18" width="14.375" style="171" customWidth="1"/>
    <col min="19" max="19" width="9" style="171"/>
    <col min="20" max="20" width="15.25" style="171" customWidth="1"/>
    <col min="21" max="21" width="17.75" style="171" customWidth="1"/>
    <col min="22" max="22" width="11.25" style="171" customWidth="1"/>
    <col min="23" max="23" width="40" style="171" customWidth="1"/>
    <col min="24" max="24" width="12.875" style="171" customWidth="1"/>
    <col min="25" max="16384" width="9" style="171"/>
  </cols>
  <sheetData>
    <row r="1" spans="1:38" x14ac:dyDescent="0.2">
      <c r="A1" s="170"/>
      <c r="B1" s="170"/>
      <c r="C1" s="170" t="s">
        <v>2</v>
      </c>
      <c r="D1" s="171">
        <v>2</v>
      </c>
      <c r="E1" s="171">
        <v>2</v>
      </c>
      <c r="F1" s="171">
        <v>3</v>
      </c>
      <c r="G1" s="171">
        <v>4</v>
      </c>
      <c r="H1" s="171">
        <v>5</v>
      </c>
      <c r="I1" s="171">
        <v>6</v>
      </c>
      <c r="J1" s="171">
        <v>7</v>
      </c>
      <c r="K1" s="171">
        <v>8</v>
      </c>
      <c r="L1" s="171">
        <v>9</v>
      </c>
      <c r="M1" s="171">
        <v>10</v>
      </c>
      <c r="N1" s="171">
        <v>11</v>
      </c>
      <c r="O1" s="171">
        <v>12</v>
      </c>
      <c r="P1" s="172"/>
      <c r="Q1" s="173" t="str">
        <f>Main!B4</f>
        <v>ZSE</v>
      </c>
      <c r="R1" s="174" t="s">
        <v>3</v>
      </c>
      <c r="S1" s="174" t="s">
        <v>0</v>
      </c>
      <c r="T1" s="174" t="s">
        <v>1</v>
      </c>
      <c r="U1" s="172" t="s">
        <v>4</v>
      </c>
      <c r="V1" s="172"/>
      <c r="W1" s="174" t="s">
        <v>3</v>
      </c>
      <c r="X1" s="172" t="s">
        <v>4</v>
      </c>
      <c r="Y1" s="174" t="s">
        <v>0</v>
      </c>
      <c r="Z1" s="174" t="s">
        <v>1</v>
      </c>
      <c r="AA1" s="172" t="s">
        <v>5</v>
      </c>
      <c r="AB1" s="172" t="s">
        <v>5</v>
      </c>
      <c r="AC1" s="175"/>
      <c r="AD1" s="172" t="s">
        <v>5</v>
      </c>
    </row>
    <row r="2" spans="1:38" x14ac:dyDescent="0.2">
      <c r="A2" s="170" t="str">
        <f>Q2</f>
        <v>ZSEX24</v>
      </c>
      <c r="B2" s="170" t="str">
        <f>RTD("cqg.rtd", ,"ContractData",A2, "ContractMonth")</f>
        <v>NOV</v>
      </c>
      <c r="C2" s="176" t="str">
        <f>IF(B2="Jan","F",IF(B2="Feb","G",IF(B2="Mar","H",IF(B2="Apr","J",IF(B2="May","K",IF(B2="JUN","M",IF(B2="Jul","N",IF(B2="Aug","Q",IF(B2="Sep","U",IF(B2="Oct","V",IF(B2="Nov","X",IF(B2="Dec","Z"))))))))))))&amp;RIGHT(A2,1)</f>
        <v>X4</v>
      </c>
      <c r="D2" s="171" t="str">
        <f>$Q$1&amp;$C$1&amp;$D$1&amp;$C2</f>
        <v>ZSES2X4</v>
      </c>
      <c r="E2" s="171" t="str">
        <f>$Q$1&amp;$C$1&amp;$D$1&amp;$C3</f>
        <v>ZSES2F5</v>
      </c>
      <c r="F2" s="171" t="str">
        <f>$Q$1&amp;$C$1&amp;$D$1&amp;$C4</f>
        <v>ZSES2H5</v>
      </c>
      <c r="G2" s="171" t="str">
        <f>$Q$1&amp;$C$1&amp;$D$1&amp;$C5</f>
        <v>ZSES2K5</v>
      </c>
      <c r="H2" s="171" t="str">
        <f>$Q$1&amp;$C$1&amp;$D$1&amp;$C6</f>
        <v>ZSES2N5</v>
      </c>
      <c r="I2" s="171" t="str">
        <f>$Q$1&amp;$C$1&amp;$D$1&amp;$C7</f>
        <v>ZSES2Q5</v>
      </c>
      <c r="J2" s="171" t="str">
        <f>$Q$1&amp;$C$1&amp;$D$1&amp;$C8</f>
        <v>ZSES2U5</v>
      </c>
      <c r="K2" s="171" t="str">
        <f>$Q$1&amp;$C$1&amp;$D$1&amp;$C9</f>
        <v>ZSES2X5</v>
      </c>
      <c r="L2" s="171" t="str">
        <f>$Q$1&amp;$C$1&amp;$D$1&amp;$C10</f>
        <v>ZSES2F6</v>
      </c>
      <c r="M2" s="171" t="str">
        <f>$Q$1&amp;$C$1&amp;$D$1&amp;$C11</f>
        <v>ZSES2H6</v>
      </c>
      <c r="N2" s="171" t="str">
        <f>$Q$1&amp;$C$1&amp;$D$1&amp;$C12</f>
        <v>ZSES2K6</v>
      </c>
      <c r="O2" s="171" t="str">
        <f>$Q$1&amp;$C$1&amp;$D$1&amp;$C13</f>
        <v>ZSES2N6</v>
      </c>
      <c r="P2" s="172" t="str">
        <f>LEFT(RIGHT(Q2,2),1)</f>
        <v>2</v>
      </c>
      <c r="Q2" s="177" t="str">
        <f>RTD("cqg.rtd", ,"ContractData", $Q$1&amp;"?"&amp;R35, "Symbol")</f>
        <v>ZSEX24</v>
      </c>
      <c r="R2" s="178">
        <f>RTD("cqg.rtd", ,"ContractData", Q2, $R$1,,"T")</f>
        <v>1017.25</v>
      </c>
      <c r="S2" s="178">
        <f>RTD("cqg.rtd", ,"ContractData", Q2,$S$1,,"T")</f>
        <v>1014.5</v>
      </c>
      <c r="T2" s="178">
        <f>RTD("cqg.rtd", ,"ContractData", Q2,$T$1,,"T")</f>
        <v>1016</v>
      </c>
      <c r="U2" s="175">
        <f>RTD("cqg.rtd", ,"ContractData", "F."&amp;$Q$1&amp;"?1", $U$1,,"T")</f>
        <v>-0.75</v>
      </c>
      <c r="V2" s="172" t="str">
        <f>D2</f>
        <v>ZSES2X4</v>
      </c>
      <c r="W2" s="175">
        <f>RTD("cqg.rtd", ,"ContractData", V2, $W$1,,"T")</f>
        <v>-21.5</v>
      </c>
      <c r="X2" s="175">
        <f>RTD("cqg.rtd", ,"ContractData", V2, $X$1,,"T")</f>
        <v>-2</v>
      </c>
      <c r="Y2" s="175">
        <f>RTD("cqg.rtd", ,"ContractData",V2,$Y$1,,"T")</f>
        <v>-28.75</v>
      </c>
      <c r="Z2" s="175">
        <f>RTD("cqg.rtd", ,"ContractData", V2,$Z$1,,"T")</f>
        <v>-22.25</v>
      </c>
      <c r="AA2" s="175">
        <f>IF(OR(W2="",W2&lt;Y2,W2&gt;Z2),(Y2+Z2)/2,W2)</f>
        <v>-25.5</v>
      </c>
      <c r="AB2" s="175">
        <f t="shared" ref="AB2:AB13" si="0">IF(OR(S2="",T2=""),R2,(IF(OR(R2="",R2&lt;S2,R2&gt;T2),(S2+T2)/2,R2)))</f>
        <v>1015.25</v>
      </c>
      <c r="AC2" s="175">
        <f>IF(OR(R2="",R2&lt;S2,R2&gt;T2),(S2+T2)/2,R2)</f>
        <v>1015.25</v>
      </c>
      <c r="AD2" s="175">
        <f>IF(OR(Y2="",Z2=""),W2,(IF(OR(W2="",W2&lt;Y2,W2&gt;Z2),(Y2+Z2)/2,W2)))</f>
        <v>-25.5</v>
      </c>
      <c r="AF2" s="171">
        <f>IF(ISERROR(AC2),NA(),AC2)</f>
        <v>1015.25</v>
      </c>
      <c r="AG2" s="171">
        <f>TEXT(IF(LEFT(AD2,3)="768",NA(),IF(AD2="",NA(),AD2)),$E$29)*1</f>
        <v>-25.5</v>
      </c>
      <c r="AH2" s="171">
        <f>IF(P2="F","JAN",IF(P2="G","FEB",IF(P2="H","MAR",IF(P2="J","APR",IF(P2="K","MAY",IF(P2="M","JUN",IF(P2="N","JUL",IF(P2="Q","AUG",IF(P2="U","SEP",IF(P2="V","OCT",IF(P2="X","NOV",IF(P2="Z","DEC",))))))))))))</f>
        <v>0</v>
      </c>
      <c r="AI2" s="171" t="str">
        <f>IFERROR(IF(LEFT(RTD("cqg.rtd",,"ContractData",V2,"LongDescription",,"T"),3)="768","",RIGHT(LEFT(RTD("cqg.rtd", ,"ContractData",V2, "LongDescription",, "T"),LEN(RTD("cqg.rtd", ,"ContractData",V2, "LongDescription",, "T"))-1),LEN(RTD("cqg.rtd", ,"ContractData",V2, "LongDescription",, "T"))-FIND(LEFT(V2,3),RTD("cqg.rtd", ,"ContractData",V2, "LongDescription",, "T"))+2)),"")</f>
        <v>1*ZSEX24-1*ZSEH25</v>
      </c>
      <c r="AJ2" s="171">
        <f>RTD("cqg.rtd", ,"ContractData",Q2, "Settlement",,"T")</f>
        <v>1016.75</v>
      </c>
      <c r="AK2" s="171">
        <f>RTD("cqg.rtd", ,"ContractData",V2, "Settlement",,"T")</f>
        <v>-26.75</v>
      </c>
      <c r="AL2" s="171">
        <f>IF(AJ2="",NA(),AJ2)</f>
        <v>1016.75</v>
      </c>
    </row>
    <row r="3" spans="1:38" x14ac:dyDescent="0.2">
      <c r="A3" s="170" t="str">
        <f t="shared" ref="A3:A13" si="1">Q3</f>
        <v>ZSEF25</v>
      </c>
      <c r="B3" s="170" t="str">
        <f>RTD("cqg.rtd", ,"ContractData",A3, "ContractMonth")</f>
        <v>JAN</v>
      </c>
      <c r="C3" s="176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F5</v>
      </c>
      <c r="D3" s="171" t="str">
        <f t="shared" ref="D3:D13" si="3">$Q$1&amp;$C$1&amp;$D$1&amp;$C3</f>
        <v>ZSES2F5</v>
      </c>
      <c r="P3" s="172" t="str">
        <f t="shared" ref="P3:P13" si="4">LEFT(RIGHT(Q3,2),1)</f>
        <v>2</v>
      </c>
      <c r="Q3" s="177" t="str">
        <f>IF(LEFT(RTD("cqg.rtd",,"ContractData",$Q$1&amp;"?"&amp;R36,"Symbol"),LEN($Q$1))=LEFT(RTD("cqg.rtd",,"ContractData",$Q$1&amp;"?"&amp;$R$35,"Symbol"),LEN($Q$1)),RTD("cqg.rtd",,"ContractData",$Q$1&amp;"?"&amp;R36,"Symbol"),NA())</f>
        <v>ZSEF25</v>
      </c>
      <c r="R3" s="178">
        <f>RTD("cqg.rtd", ,"ContractData", Q3, $R$1,,"T")</f>
        <v>1027.25</v>
      </c>
      <c r="S3" s="178">
        <f>RTD("cqg.rtd", ,"ContractData", Q3,$S$1,,"T")</f>
        <v>1027</v>
      </c>
      <c r="T3" s="178">
        <f>RTD("cqg.rtd", ,"ContractData", Q3,$T$1,,"T")</f>
        <v>1027.25</v>
      </c>
      <c r="U3" s="175">
        <f>RTD("cqg.rtd", ,"ContractData", "F."&amp;$Q$1&amp;"?2",  $U$1,,"T")</f>
        <v>-3</v>
      </c>
      <c r="V3" s="172" t="str">
        <f>E2</f>
        <v>ZSES2F5</v>
      </c>
      <c r="W3" s="175">
        <f>RTD("cqg.rtd", ,"ContractData", V3, $W$1,,"T")</f>
        <v>-24.5</v>
      </c>
      <c r="X3" s="175">
        <f>RTD("cqg.rtd", ,"ContractData", V3, $X$1,,"T")</f>
        <v>2</v>
      </c>
      <c r="Y3" s="175">
        <f>RTD("cqg.rtd", ,"ContractData",V3,$Y$1,,"T")</f>
        <v>-24.5</v>
      </c>
      <c r="Z3" s="175">
        <f>RTD("cqg.rtd", ,"ContractData", V3,$Z$1,,"T")</f>
        <v>-24.25</v>
      </c>
      <c r="AA3" s="175">
        <f t="shared" ref="AA3:AA13" si="5">IF(OR(W3="",W3&lt;Y3,W3&gt;Z3),(Y3+Z3)/2,W3)</f>
        <v>-24.5</v>
      </c>
      <c r="AB3" s="175">
        <f t="shared" si="0"/>
        <v>1027.25</v>
      </c>
      <c r="AC3" s="175">
        <f>IF(OR(R3="",R3&lt;S3,R3&gt;T3),(S3+T3)/2,R3)</f>
        <v>1027.25</v>
      </c>
      <c r="AD3" s="175">
        <f t="shared" ref="AD3:AD13" si="6">IF(OR(Y3="",Z3=""),W3,(IF(OR(W3="",W3&lt;Y3,W3&gt;Z3),(Y3+Z3)/2,W3)))</f>
        <v>-24.5</v>
      </c>
      <c r="AF3" s="171">
        <f t="shared" ref="AF3:AF13" si="7">IF(ISERROR(AC3),NA(),AC3)</f>
        <v>1027.25</v>
      </c>
      <c r="AG3" s="171">
        <f t="shared" ref="AG3:AG13" si="8">TEXT(IF(LEFT(AD3,3)="768",NA(),IF(AD3="",NA(),AD3)),$E$29)*1</f>
        <v>-24.5</v>
      </c>
      <c r="AH3" s="171">
        <f t="shared" ref="AH3:AH13" si="9">IF(P3="F","JAN",IF(P3="G","FEB",IF(P3="H","MAR",IF(P3="J","APR",IF(P3="K","MAY",IF(P3="M","JUN",IF(P3="N","JUL",IF(P3="Q","AUG",IF(P3="U","SEP",IF(P3="V","OCT",IF(P3="X","NOV",IF(P3="Z","DEC",))))))))))))</f>
        <v>0</v>
      </c>
      <c r="AI3" s="171" t="str">
        <f>IFERROR(IF(LEFT(RTD("cqg.rtd",,"ContractData",V3,"LongDescription",,"T"),3)="768","",RIGHT(LEFT(RTD("cqg.rtd", ,"ContractData",V3, "LongDescription",, "T"),LEN(RTD("cqg.rtd", ,"ContractData",V3, "LongDescription",, "T"))-1),LEN(RTD("cqg.rtd", ,"ContractData",V3, "LongDescription",, "T"))-FIND(LEFT(V3,3),RTD("cqg.rtd", ,"ContractData",V3, "LongDescription",, "T"))+2)),"")</f>
        <v>1*ZSEF25-1*ZSEK25</v>
      </c>
      <c r="AJ3" s="171">
        <f>RTD("cqg.rtd", ,"ContractData",Q3, "Settlement",,"T")</f>
        <v>1030.25</v>
      </c>
      <c r="AK3" s="171">
        <f>RTD("cqg.rtd", ,"ContractData",V3, "Settlement",,"T")</f>
        <v>-26.5</v>
      </c>
      <c r="AL3" s="171">
        <f t="shared" ref="AL3:AL13" si="10">IF(AJ3="",NA(),AJ3)</f>
        <v>1030.25</v>
      </c>
    </row>
    <row r="4" spans="1:38" x14ac:dyDescent="0.2">
      <c r="A4" s="170" t="str">
        <f t="shared" si="1"/>
        <v>ZSEH25</v>
      </c>
      <c r="B4" s="170" t="str">
        <f>RTD("cqg.rtd", ,"ContractData",A4, "ContractMonth")</f>
        <v>MAR</v>
      </c>
      <c r="C4" s="176" t="str">
        <f t="shared" si="2"/>
        <v>H5</v>
      </c>
      <c r="D4" s="171" t="str">
        <f t="shared" si="3"/>
        <v>ZSES2H5</v>
      </c>
      <c r="P4" s="172" t="str">
        <f t="shared" si="4"/>
        <v>2</v>
      </c>
      <c r="Q4" s="177" t="str">
        <f>IF(LEFT(RTD("cqg.rtd",,"ContractData",$Q$1&amp;"?"&amp;R37,"Symbol"),LEN($Q$1))=LEFT(RTD("cqg.rtd",,"ContractData",$Q$1&amp;"?"&amp;$R$35,"Symbol"),LEN($Q$1)),RTD("cqg.rtd",,"ContractData",$Q$1&amp;"?"&amp;R37,"Symbol"),NA())</f>
        <v>ZSEH25</v>
      </c>
      <c r="R4" s="178">
        <f>RTD("cqg.rtd", ,"ContractData", Q4, $R$1,,"T")</f>
        <v>1039</v>
      </c>
      <c r="S4" s="178">
        <f>RTD("cqg.rtd", ,"ContractData", Q4,$S$1,,"T")</f>
        <v>1038.75</v>
      </c>
      <c r="T4" s="178">
        <f>RTD("cqg.rtd", ,"ContractData", Q4,$T$1,,"T")</f>
        <v>1039</v>
      </c>
      <c r="U4" s="175">
        <f>RTD("cqg.rtd", ,"ContractData", "F."&amp;$Q$1&amp;"?3",  $U$1,,"T")</f>
        <v>-4.5</v>
      </c>
      <c r="V4" s="172" t="str">
        <f>F2</f>
        <v>ZSES2H5</v>
      </c>
      <c r="W4" s="175">
        <f>RTD("cqg.rtd", ,"ContractData", V4, $W$1,,"T")</f>
        <v>-23.5</v>
      </c>
      <c r="X4" s="175">
        <f>RTD("cqg.rtd", ,"ContractData", V4, $X$1,,"T")</f>
        <v>1.25</v>
      </c>
      <c r="Y4" s="175">
        <f>RTD("cqg.rtd", ,"ContractData",V4,$Y$1,,"T")</f>
        <v>-23.75</v>
      </c>
      <c r="Z4" s="175">
        <f>RTD("cqg.rtd", ,"ContractData", V4,$Z$1,,"T")</f>
        <v>-23.5</v>
      </c>
      <c r="AA4" s="175">
        <f t="shared" si="5"/>
        <v>-23.5</v>
      </c>
      <c r="AB4" s="175">
        <f t="shared" si="0"/>
        <v>1039</v>
      </c>
      <c r="AC4" s="175">
        <f t="shared" ref="AC4:AC13" si="11">IF(OR(R4="",R4&lt;S4,R4&gt;T4),(S4+T4)/2,R4)</f>
        <v>1039</v>
      </c>
      <c r="AD4" s="175">
        <f t="shared" si="6"/>
        <v>-23.5</v>
      </c>
      <c r="AF4" s="171">
        <f t="shared" si="7"/>
        <v>1039</v>
      </c>
      <c r="AG4" s="171">
        <f t="shared" si="8"/>
        <v>-23.5</v>
      </c>
      <c r="AH4" s="171">
        <f t="shared" si="9"/>
        <v>0</v>
      </c>
      <c r="AI4" s="171" t="str">
        <f>IFERROR(IF(LEFT(RTD("cqg.rtd",,"ContractData",V4,"LongDescription",,"T"),3)="768","",RIGHT(LEFT(RTD("cqg.rtd", ,"ContractData",V4, "LongDescription",, "T"),LEN(RTD("cqg.rtd", ,"ContractData",V4, "LongDescription",, "T"))-1),LEN(RTD("cqg.rtd", ,"ContractData",V4, "LongDescription",, "T"))-FIND(LEFT(V4,3),RTD("cqg.rtd", ,"ContractData",V4, "LongDescription",, "T"))+2)),"")</f>
        <v>1*ZSEH25-1*ZSEN25</v>
      </c>
      <c r="AJ4" s="171">
        <f>RTD("cqg.rtd", ,"ContractData",Q4, "Settlement",,"T")</f>
        <v>1043.5</v>
      </c>
      <c r="AK4" s="171">
        <f>RTD("cqg.rtd", ,"ContractData",V4, "Settlement",,"T")</f>
        <v>-24.75</v>
      </c>
      <c r="AL4" s="171">
        <f t="shared" si="10"/>
        <v>1043.5</v>
      </c>
    </row>
    <row r="5" spans="1:38" x14ac:dyDescent="0.2">
      <c r="A5" s="170" t="str">
        <f t="shared" si="1"/>
        <v>ZSEK25</v>
      </c>
      <c r="B5" s="170" t="str">
        <f>RTD("cqg.rtd", ,"ContractData",A5, "ContractMonth")</f>
        <v>MAY</v>
      </c>
      <c r="C5" s="176" t="str">
        <f t="shared" si="2"/>
        <v>K5</v>
      </c>
      <c r="D5" s="171" t="str">
        <f t="shared" si="3"/>
        <v>ZSES2K5</v>
      </c>
      <c r="P5" s="172" t="str">
        <f t="shared" si="4"/>
        <v>2</v>
      </c>
      <c r="Q5" s="177" t="str">
        <f>IF(LEFT(RTD("cqg.rtd",,"ContractData",$Q$1&amp;"?"&amp;R38,"Symbol"),LEN($Q$1))=LEFT(RTD("cqg.rtd",,"ContractData",$Q$1&amp;"?"&amp;$R$35,"Symbol"),LEN($Q$1)),RTD("cqg.rtd",,"ContractData",$Q$1&amp;"?"&amp;R38,"Symbol"),NA())</f>
        <v>ZSEK25</v>
      </c>
      <c r="R5" s="178">
        <f>RTD("cqg.rtd", ,"ContractData", Q5, $R$1,,"T")</f>
        <v>1051.25</v>
      </c>
      <c r="S5" s="178">
        <f>RTD("cqg.rtd", ,"ContractData", Q5,$S$1,,"T")</f>
        <v>1051.25</v>
      </c>
      <c r="T5" s="178">
        <f>RTD("cqg.rtd", ,"ContractData", Q5,$T$1,,"T")</f>
        <v>1051.75</v>
      </c>
      <c r="U5" s="175">
        <f>RTD("cqg.rtd", ,"ContractData", "F."&amp;$Q$1&amp;"?4",  $U$1,,"T")</f>
        <v>-5</v>
      </c>
      <c r="V5" s="172" t="str">
        <f>G2</f>
        <v>ZSES2K5</v>
      </c>
      <c r="W5" s="175">
        <f>RTD("cqg.rtd", ,"ContractData", V5, $W$1,,"T")</f>
        <v>-9</v>
      </c>
      <c r="X5" s="175">
        <f>RTD("cqg.rtd", ,"ContractData", V5, $X$1,,"T")</f>
        <v>1.75</v>
      </c>
      <c r="Y5" s="175">
        <f>RTD("cqg.rtd", ,"ContractData",V5,$Y$1,,"T")</f>
        <v>-9</v>
      </c>
      <c r="Z5" s="175">
        <f>RTD("cqg.rtd", ,"ContractData", V5,$Z$1,,"T")</f>
        <v>-8.75</v>
      </c>
      <c r="AA5" s="175">
        <f t="shared" si="5"/>
        <v>-9</v>
      </c>
      <c r="AB5" s="175">
        <f t="shared" si="0"/>
        <v>1051.25</v>
      </c>
      <c r="AC5" s="175">
        <f t="shared" si="11"/>
        <v>1051.25</v>
      </c>
      <c r="AD5" s="175">
        <f t="shared" si="6"/>
        <v>-9</v>
      </c>
      <c r="AF5" s="171">
        <f t="shared" si="7"/>
        <v>1051.25</v>
      </c>
      <c r="AG5" s="171">
        <f t="shared" si="8"/>
        <v>-9</v>
      </c>
      <c r="AH5" s="171">
        <f t="shared" si="9"/>
        <v>0</v>
      </c>
      <c r="AI5" s="171" t="str">
        <f>IFERROR(IF(LEFT(RTD("cqg.rtd",,"ContractData",V5,"LongDescription",,"T"),3)="768","",RIGHT(LEFT(RTD("cqg.rtd", ,"ContractData",V5, "LongDescription",, "T"),LEN(RTD("cqg.rtd", ,"ContractData",V5, "LongDescription",, "T"))-1),LEN(RTD("cqg.rtd", ,"ContractData",V5, "LongDescription",, "T"))-FIND(LEFT(V5,3),RTD("cqg.rtd", ,"ContractData",V5, "LongDescription",, "T"))+2)),"")</f>
        <v>1*ZSEK25-1*ZSEQ25</v>
      </c>
      <c r="AJ5" s="171">
        <f>RTD("cqg.rtd", ,"ContractData",Q5, "Settlement",,"T")</f>
        <v>1056.75</v>
      </c>
      <c r="AK5" s="171">
        <f>RTD("cqg.rtd", ,"ContractData",V5, "Settlement",,"T")</f>
        <v>-10.5</v>
      </c>
      <c r="AL5" s="171">
        <f t="shared" si="10"/>
        <v>1056.75</v>
      </c>
    </row>
    <row r="6" spans="1:38" x14ac:dyDescent="0.2">
      <c r="A6" s="170" t="str">
        <f t="shared" si="1"/>
        <v>ZSEN25</v>
      </c>
      <c r="B6" s="170" t="str">
        <f>RTD("cqg.rtd", ,"ContractData",A6, "ContractMonth")</f>
        <v>JUL</v>
      </c>
      <c r="C6" s="176" t="str">
        <f t="shared" si="2"/>
        <v>N5</v>
      </c>
      <c r="D6" s="171" t="str">
        <f t="shared" si="3"/>
        <v>ZSES2N5</v>
      </c>
      <c r="P6" s="172" t="str">
        <f t="shared" si="4"/>
        <v>2</v>
      </c>
      <c r="Q6" s="177" t="str">
        <f>IF(LEFT(RTD("cqg.rtd",,"ContractData",$Q$1&amp;"?"&amp;R39,"Symbol"),LEN($Q$1))=LEFT(RTD("cqg.rtd",,"ContractData",$Q$1&amp;"?"&amp;$R$35,"Symbol"),LEN($Q$1)),RTD("cqg.rtd",,"ContractData",$Q$1&amp;"?"&amp;R39,"Symbol"),NA())</f>
        <v>ZSEN25</v>
      </c>
      <c r="R6" s="178">
        <f>RTD("cqg.rtd", ,"ContractData", Q6, $R$1,,"T")</f>
        <v>1062.5</v>
      </c>
      <c r="S6" s="178">
        <f>RTD("cqg.rtd", ,"ContractData", Q6,$S$1,,"T")</f>
        <v>1062.25</v>
      </c>
      <c r="T6" s="178">
        <f>RTD("cqg.rtd", ,"ContractData", Q6,$T$1,,"T")</f>
        <v>1062.75</v>
      </c>
      <c r="U6" s="175">
        <f>RTD("cqg.rtd", ,"ContractData", "F."&amp;$Q$1&amp;"?5",  $U$1,,"T")</f>
        <v>-5.5</v>
      </c>
      <c r="V6" s="172" t="str">
        <f>H2</f>
        <v>ZSES2N5</v>
      </c>
      <c r="W6" s="175">
        <f>RTD("cqg.rtd", ,"ContractData", V6, $W$1,,"T")</f>
        <v>17.25</v>
      </c>
      <c r="X6" s="175">
        <f>RTD("cqg.rtd", ,"ContractData", V6, $X$1,,"T")</f>
        <v>3</v>
      </c>
      <c r="Y6" s="175">
        <f>RTD("cqg.rtd", ,"ContractData",V6,$Y$1,,"T")</f>
        <v>17</v>
      </c>
      <c r="Z6" s="175">
        <f>RTD("cqg.rtd", ,"ContractData", V6,$Z$1,,"T")</f>
        <v>17.25</v>
      </c>
      <c r="AA6" s="175">
        <f t="shared" si="5"/>
        <v>17.25</v>
      </c>
      <c r="AB6" s="175">
        <f t="shared" si="0"/>
        <v>1062.5</v>
      </c>
      <c r="AC6" s="175">
        <f t="shared" si="11"/>
        <v>1062.5</v>
      </c>
      <c r="AD6" s="175">
        <f t="shared" si="6"/>
        <v>17.25</v>
      </c>
      <c r="AF6" s="171">
        <f t="shared" si="7"/>
        <v>1062.5</v>
      </c>
      <c r="AG6" s="171">
        <f t="shared" si="8"/>
        <v>17.25</v>
      </c>
      <c r="AH6" s="171">
        <f t="shared" si="9"/>
        <v>0</v>
      </c>
      <c r="AI6" s="171" t="str">
        <f>IFERROR(IF(LEFT(RTD("cqg.rtd",,"ContractData",V6,"LongDescription",,"T"),3)="768","",RIGHT(LEFT(RTD("cqg.rtd", ,"ContractData",V6, "LongDescription",, "T"),LEN(RTD("cqg.rtd", ,"ContractData",V6, "LongDescription",, "T"))-1),LEN(RTD("cqg.rtd", ,"ContractData",V6, "LongDescription",, "T"))-FIND(LEFT(V6,3),RTD("cqg.rtd", ,"ContractData",V6, "LongDescription",, "T"))+2)),"")</f>
        <v>1*ZSEN25-1*ZSEU25</v>
      </c>
      <c r="AJ6" s="171">
        <f>RTD("cqg.rtd", ,"ContractData",Q6, "Settlement",,"T")</f>
        <v>1068.25</v>
      </c>
      <c r="AK6" s="171">
        <f>RTD("cqg.rtd", ,"ContractData",V6, "Settlement",,"T")</f>
        <v>14.25</v>
      </c>
      <c r="AL6" s="171">
        <f t="shared" si="10"/>
        <v>1068.25</v>
      </c>
    </row>
    <row r="7" spans="1:38" x14ac:dyDescent="0.2">
      <c r="A7" s="170" t="str">
        <f t="shared" si="1"/>
        <v>ZSEQ25</v>
      </c>
      <c r="B7" s="170" t="str">
        <f>RTD("cqg.rtd", ,"ContractData",A7, "ContractMonth")</f>
        <v>AUG</v>
      </c>
      <c r="C7" s="176" t="str">
        <f t="shared" si="2"/>
        <v>Q5</v>
      </c>
      <c r="D7" s="171" t="str">
        <f t="shared" si="3"/>
        <v>ZSES2Q5</v>
      </c>
      <c r="P7" s="172" t="str">
        <f t="shared" si="4"/>
        <v>2</v>
      </c>
      <c r="Q7" s="177" t="str">
        <f>IF(LEFT(RTD("cqg.rtd",,"ContractData",$Q$1&amp;"?"&amp;R40,"Symbol"),LEN($Q$1))=LEFT(RTD("cqg.rtd",,"ContractData",$Q$1&amp;"?"&amp;$R$35,"Symbol"),LEN($Q$1)),RTD("cqg.rtd",,"ContractData",$Q$1&amp;"?"&amp;R40,"Symbol"),NA())</f>
        <v>ZSEQ25</v>
      </c>
      <c r="R7" s="178">
        <f>RTD("cqg.rtd", ,"ContractData", Q7, $R$1,,"T")</f>
        <v>1060.5</v>
      </c>
      <c r="S7" s="178">
        <f>RTD("cqg.rtd", ,"ContractData", Q7,$S$1,,"T")</f>
        <v>1060</v>
      </c>
      <c r="T7" s="178">
        <f>RTD("cqg.rtd", ,"ContractData", Q7,$T$1,,"T")</f>
        <v>1060.5</v>
      </c>
      <c r="U7" s="175">
        <f>RTD("cqg.rtd", ,"ContractData", "F."&amp;$Q$1&amp;"?6", $U$1,,"T")</f>
        <v>-7.25</v>
      </c>
      <c r="V7" s="172" t="str">
        <f>I2</f>
        <v>ZSES2Q5</v>
      </c>
      <c r="W7" s="175">
        <f>RTD("cqg.rtd", ,"ContractData", V7, $W$1,,"T")</f>
        <v>17.75</v>
      </c>
      <c r="X7" s="175">
        <f>RTD("cqg.rtd", ,"ContractData", V7, $X$1,,"T")</f>
        <v>3</v>
      </c>
      <c r="Y7" s="175">
        <f>RTD("cqg.rtd", ,"ContractData",V7,$Y$1,,"T")</f>
        <v>17.25</v>
      </c>
      <c r="Z7" s="175">
        <f>RTD("cqg.rtd", ,"ContractData", V7,$Z$1,,"T")</f>
        <v>17.75</v>
      </c>
      <c r="AA7" s="175">
        <f t="shared" si="5"/>
        <v>17.75</v>
      </c>
      <c r="AB7" s="175">
        <f t="shared" si="0"/>
        <v>1060.5</v>
      </c>
      <c r="AC7" s="175">
        <f t="shared" si="11"/>
        <v>1060.5</v>
      </c>
      <c r="AD7" s="175">
        <f t="shared" si="6"/>
        <v>17.75</v>
      </c>
      <c r="AF7" s="171">
        <f t="shared" si="7"/>
        <v>1060.5</v>
      </c>
      <c r="AG7" s="171">
        <f t="shared" si="8"/>
        <v>17.75</v>
      </c>
      <c r="AH7" s="171">
        <f t="shared" si="9"/>
        <v>0</v>
      </c>
      <c r="AI7" s="171" t="str">
        <f>IFERROR(IF(LEFT(RTD("cqg.rtd",,"ContractData",V7,"LongDescription",,"T"),3)="768","",RIGHT(LEFT(RTD("cqg.rtd", ,"ContractData",V7, "LongDescription",, "T"),LEN(RTD("cqg.rtd", ,"ContractData",V7, "LongDescription",, "T"))-1),LEN(RTD("cqg.rtd", ,"ContractData",V7, "LongDescription",, "T"))-FIND(LEFT(V7,3),RTD("cqg.rtd", ,"ContractData",V7, "LongDescription",, "T"))+2)),"")</f>
        <v>1*ZSEQ25-1*ZSEX25</v>
      </c>
      <c r="AJ7" s="171">
        <f>RTD("cqg.rtd", ,"ContractData",Q7, "Settlement",,"T")</f>
        <v>1067.25</v>
      </c>
      <c r="AK7" s="171">
        <f>RTD("cqg.rtd", ,"ContractData",V7, "Settlement",,"T")</f>
        <v>14.75</v>
      </c>
      <c r="AL7" s="171">
        <f t="shared" si="10"/>
        <v>1067.25</v>
      </c>
    </row>
    <row r="8" spans="1:38" x14ac:dyDescent="0.2">
      <c r="A8" s="170" t="str">
        <f t="shared" si="1"/>
        <v>ZSEU25</v>
      </c>
      <c r="B8" s="170" t="str">
        <f>RTD("cqg.rtd", ,"ContractData",A8, "ContractMonth")</f>
        <v>SEP</v>
      </c>
      <c r="C8" s="176" t="str">
        <f t="shared" si="2"/>
        <v>U5</v>
      </c>
      <c r="D8" s="171" t="str">
        <f t="shared" si="3"/>
        <v>ZSES2U5</v>
      </c>
      <c r="P8" s="172" t="str">
        <f t="shared" si="4"/>
        <v>2</v>
      </c>
      <c r="Q8" s="177" t="str">
        <f>IF(LEFT(RTD("cqg.rtd",,"ContractData",$Q$1&amp;"?"&amp;R41,"Symbol"),LEN($Q$1))=LEFT(RTD("cqg.rtd",,"ContractData",$Q$1&amp;"?"&amp;$R$35,"Symbol"),LEN($Q$1)),RTD("cqg.rtd",,"ContractData",$Q$1&amp;"?"&amp;R41,"Symbol"),NA())</f>
        <v>ZSEU25</v>
      </c>
      <c r="R8" s="178">
        <f>RTD("cqg.rtd", ,"ContractData", Q8, $R$1,,"T")</f>
        <v>1046</v>
      </c>
      <c r="S8" s="178">
        <f>RTD("cqg.rtd", ,"ContractData", Q8,$S$1,,"T")</f>
        <v>1045</v>
      </c>
      <c r="T8" s="178">
        <f>RTD("cqg.rtd", ,"ContractData", Q8,$T$1,,"T")</f>
        <v>1045.5</v>
      </c>
      <c r="U8" s="175">
        <f>RTD("cqg.rtd", ,"ContractData", "F."&amp;$Q$1&amp;"?7", $U$1,,"T")</f>
        <v>-9</v>
      </c>
      <c r="V8" s="172" t="str">
        <f>J2</f>
        <v>ZSES2U5</v>
      </c>
      <c r="W8" s="175">
        <f>RTD("cqg.rtd", ,"ContractData", V8, $W$1,,"T")</f>
        <v>-6.75</v>
      </c>
      <c r="X8" s="175">
        <f>RTD("cqg.rtd", ,"ContractData", V8, $X$1,,"T")</f>
        <v>1.5</v>
      </c>
      <c r="Y8" s="175">
        <f>RTD("cqg.rtd", ,"ContractData",V8,$Y$1,,"T")</f>
        <v>-7</v>
      </c>
      <c r="Z8" s="175">
        <f>RTD("cqg.rtd", ,"ContractData", V8,$Z$1,,"T")</f>
        <v>-6.25</v>
      </c>
      <c r="AA8" s="175">
        <f t="shared" si="5"/>
        <v>-6.75</v>
      </c>
      <c r="AB8" s="175">
        <f t="shared" si="0"/>
        <v>1045.25</v>
      </c>
      <c r="AC8" s="175">
        <f t="shared" si="11"/>
        <v>1045.25</v>
      </c>
      <c r="AD8" s="175">
        <f t="shared" si="6"/>
        <v>-6.75</v>
      </c>
      <c r="AF8" s="171">
        <f t="shared" si="7"/>
        <v>1045.25</v>
      </c>
      <c r="AG8" s="171">
        <f t="shared" si="8"/>
        <v>-6.75</v>
      </c>
      <c r="AH8" s="171">
        <f t="shared" si="9"/>
        <v>0</v>
      </c>
      <c r="AI8" s="171" t="str">
        <f>IFERROR(IF(LEFT(RTD("cqg.rtd",,"ContractData",V8,"LongDescription",,"T"),3)="768","",RIGHT(LEFT(RTD("cqg.rtd", ,"ContractData",V8, "LongDescription",, "T"),LEN(RTD("cqg.rtd", ,"ContractData",V8, "LongDescription",, "T"))-1),LEN(RTD("cqg.rtd", ,"ContractData",V8, "LongDescription",, "T"))-FIND(LEFT(V8,3),RTD("cqg.rtd", ,"ContractData",V8, "LongDescription",, "T"))+2)),"")</f>
        <v>1*ZSEU25-1*ZSEF26</v>
      </c>
      <c r="AJ8" s="171">
        <f>RTD("cqg.rtd", ,"ContractData",Q8, "Settlement",,"T")</f>
        <v>1054</v>
      </c>
      <c r="AK8" s="171">
        <f>RTD("cqg.rtd", ,"ContractData",V8, "Settlement",,"T")</f>
        <v>-7.75</v>
      </c>
      <c r="AL8" s="171">
        <f t="shared" si="10"/>
        <v>1054</v>
      </c>
    </row>
    <row r="9" spans="1:38" x14ac:dyDescent="0.2">
      <c r="A9" s="170" t="str">
        <f t="shared" si="1"/>
        <v>ZSEX25</v>
      </c>
      <c r="B9" s="170" t="str">
        <f>RTD("cqg.rtd", ,"ContractData",A9, "ContractMonth")</f>
        <v>NOV</v>
      </c>
      <c r="C9" s="176" t="str">
        <f t="shared" si="2"/>
        <v>X5</v>
      </c>
      <c r="D9" s="171" t="str">
        <f t="shared" si="3"/>
        <v>ZSES2X5</v>
      </c>
      <c r="P9" s="172" t="str">
        <f t="shared" si="4"/>
        <v>2</v>
      </c>
      <c r="Q9" s="177" t="str">
        <f>IF(LEFT(RTD("cqg.rtd",,"ContractData",$Q$1&amp;"?"&amp;R42,"Symbol"),LEN($Q$1))=LEFT(RTD("cqg.rtd",,"ContractData",$Q$1&amp;"?"&amp;$R$35,"Symbol"),LEN($Q$1)),RTD("cqg.rtd",,"ContractData",$Q$1&amp;"?"&amp;R42,"Symbol"),NA())</f>
        <v>ZSEX25</v>
      </c>
      <c r="R9" s="178">
        <f>RTD("cqg.rtd", ,"ContractData", Q9, $R$1,,"T")</f>
        <v>1043</v>
      </c>
      <c r="S9" s="178">
        <f>RTD("cqg.rtd", ,"ContractData", Q9,$S$1,,"T")</f>
        <v>1042.75</v>
      </c>
      <c r="T9" s="178">
        <f>RTD("cqg.rtd", ,"ContractData", Q9,$T$1,,"T")</f>
        <v>1043.25</v>
      </c>
      <c r="U9" s="175">
        <f>RTD("cqg.rtd", ,"ContractData", "F."&amp;$Q$1&amp;"?8", $U$1,,"T")</f>
        <v>-9.25</v>
      </c>
      <c r="V9" s="172" t="str">
        <f>K2</f>
        <v>ZSES2X5</v>
      </c>
      <c r="W9" s="175">
        <f>RTD("cqg.rtd", ,"ContractData", V9, $W$1,,"T")</f>
        <v>-8.75</v>
      </c>
      <c r="X9" s="175">
        <f>RTD("cqg.rtd", ,"ContractData", V9, $X$1,,"T")</f>
        <v>0.75</v>
      </c>
      <c r="Y9" s="175">
        <f>RTD("cqg.rtd", ,"ContractData",V9,$Y$1,,"T")</f>
        <v>-9</v>
      </c>
      <c r="Z9" s="175">
        <f>RTD("cqg.rtd", ,"ContractData", V9,$Z$1,,"T")</f>
        <v>-8.5</v>
      </c>
      <c r="AA9" s="175">
        <f t="shared" si="5"/>
        <v>-8.75</v>
      </c>
      <c r="AB9" s="175">
        <f t="shared" si="0"/>
        <v>1043</v>
      </c>
      <c r="AC9" s="175">
        <f t="shared" si="11"/>
        <v>1043</v>
      </c>
      <c r="AD9" s="175">
        <f t="shared" si="6"/>
        <v>-8.75</v>
      </c>
      <c r="AF9" s="171">
        <f t="shared" si="7"/>
        <v>1043</v>
      </c>
      <c r="AG9" s="171">
        <f t="shared" si="8"/>
        <v>-8.75</v>
      </c>
      <c r="AH9" s="171">
        <f t="shared" si="9"/>
        <v>0</v>
      </c>
      <c r="AI9" s="171" t="str">
        <f>IFERROR(IF(LEFT(RTD("cqg.rtd",,"ContractData",V9,"LongDescription",,"T"),3)="768","",RIGHT(LEFT(RTD("cqg.rtd", ,"ContractData",V9, "LongDescription",, "T"),LEN(RTD("cqg.rtd", ,"ContractData",V9, "LongDescription",, "T"))-1),LEN(RTD("cqg.rtd", ,"ContractData",V9, "LongDescription",, "T"))-FIND(LEFT(V9,3),RTD("cqg.rtd", ,"ContractData",V9, "LongDescription",, "T"))+2)),"")</f>
        <v>1*ZSEX25-1*ZSEH26</v>
      </c>
      <c r="AJ9" s="171">
        <f>RTD("cqg.rtd", ,"ContractData",Q9, "Settlement",,"T")</f>
        <v>1052.5</v>
      </c>
      <c r="AK9" s="171">
        <f>RTD("cqg.rtd", ,"ContractData",V9, "Settlement",,"T")</f>
        <v>-9.25</v>
      </c>
      <c r="AL9" s="171">
        <f t="shared" si="10"/>
        <v>1052.5</v>
      </c>
    </row>
    <row r="10" spans="1:38" x14ac:dyDescent="0.2">
      <c r="A10" s="170" t="str">
        <f t="shared" si="1"/>
        <v>ZSEF26</v>
      </c>
      <c r="B10" s="170" t="str">
        <f>RTD("cqg.rtd", ,"ContractData",A10, "ContractMonth")</f>
        <v>JAN</v>
      </c>
      <c r="C10" s="176" t="str">
        <f t="shared" si="2"/>
        <v>F6</v>
      </c>
      <c r="D10" s="171" t="str">
        <f t="shared" si="3"/>
        <v>ZSES2F6</v>
      </c>
      <c r="P10" s="172" t="str">
        <f t="shared" si="4"/>
        <v>2</v>
      </c>
      <c r="Q10" s="177" t="str">
        <f>IF(LEFT(RTD("cqg.rtd",,"ContractData",$Q$1&amp;"?"&amp;R43,"Symbol"),LEN($Q$1))=LEFT(RTD("cqg.rtd",,"ContractData",$Q$1&amp;"?"&amp;$R$35,"Symbol"),LEN($Q$1)),RTD("cqg.rtd",,"ContractData",$Q$1&amp;"?"&amp;R43,"Symbol"),NA())</f>
        <v>ZSEF26</v>
      </c>
      <c r="R10" s="178">
        <f>RTD("cqg.rtd", ,"ContractData", Q10, $R$1,,"T")</f>
        <v>1052.25</v>
      </c>
      <c r="S10" s="178">
        <f>RTD("cqg.rtd", ,"ContractData", Q10,$S$1,,"T")</f>
        <v>1051.75</v>
      </c>
      <c r="T10" s="178">
        <f>RTD("cqg.rtd", ,"ContractData", Q10,$T$1,,"T")</f>
        <v>1052.5</v>
      </c>
      <c r="U10" s="175">
        <f>RTD("cqg.rtd", ,"ContractData", "F."&amp;$Q$1&amp;"?9", $U$1,,"T")</f>
        <v>-9.25</v>
      </c>
      <c r="V10" s="172" t="str">
        <f>L2</f>
        <v>ZSES2F6</v>
      </c>
      <c r="W10" s="175" t="str">
        <f>RTD("cqg.rtd", ,"ContractData", V10, $W$1,,"T")</f>
        <v/>
      </c>
      <c r="X10" s="175">
        <f>RTD("cqg.rtd", ,"ContractData", V10, $X$1,,"T")</f>
        <v>2.25</v>
      </c>
      <c r="Y10" s="175">
        <f>RTD("cqg.rtd", ,"ContractData",V10,$Y$1,,"T")</f>
        <v>-6.25</v>
      </c>
      <c r="Z10" s="175">
        <f>RTD("cqg.rtd", ,"ContractData", V10,$Z$1,,"T")</f>
        <v>-3.75</v>
      </c>
      <c r="AA10" s="175">
        <f t="shared" si="5"/>
        <v>-5</v>
      </c>
      <c r="AB10" s="175">
        <f t="shared" si="0"/>
        <v>1052.25</v>
      </c>
      <c r="AC10" s="175">
        <f t="shared" si="11"/>
        <v>1052.25</v>
      </c>
      <c r="AD10" s="175">
        <f t="shared" si="6"/>
        <v>-5</v>
      </c>
      <c r="AF10" s="171">
        <f t="shared" si="7"/>
        <v>1052.25</v>
      </c>
      <c r="AG10" s="171">
        <f t="shared" si="8"/>
        <v>-5</v>
      </c>
      <c r="AH10" s="171">
        <f t="shared" si="9"/>
        <v>0</v>
      </c>
      <c r="AI10" s="171" t="str">
        <f>IFERROR(IF(LEFT(RTD("cqg.rtd",,"ContractData",V10,"LongDescription",,"T"),3)="768","",RIGHT(LEFT(RTD("cqg.rtd", ,"ContractData",V10, "LongDescription",, "T"),LEN(RTD("cqg.rtd", ,"ContractData",V10, "LongDescription",, "T"))-1),LEN(RTD("cqg.rtd", ,"ContractData",V10, "LongDescription",, "T"))-FIND(LEFT(V10,3),RTD("cqg.rtd", ,"ContractData",V10, "LongDescription",, "T"))+2)),"")</f>
        <v>1*ZSEF26-1*ZSEK26</v>
      </c>
      <c r="AJ10" s="171">
        <f>RTD("cqg.rtd", ,"ContractData",Q10, "Settlement",,"T")</f>
        <v>1061.75</v>
      </c>
      <c r="AK10" s="171">
        <f>RTD("cqg.rtd", ,"ContractData",V10, "Settlement",,"T")</f>
        <v>-6</v>
      </c>
      <c r="AL10" s="171">
        <f t="shared" si="10"/>
        <v>1061.75</v>
      </c>
    </row>
    <row r="11" spans="1:38" x14ac:dyDescent="0.2">
      <c r="A11" s="170" t="str">
        <f t="shared" si="1"/>
        <v>ZSEH26</v>
      </c>
      <c r="B11" s="170" t="str">
        <f>RTD("cqg.rtd", ,"ContractData",A11, "ContractMonth")</f>
        <v>MAR</v>
      </c>
      <c r="C11" s="176" t="str">
        <f t="shared" si="2"/>
        <v>H6</v>
      </c>
      <c r="D11" s="171" t="str">
        <f t="shared" si="3"/>
        <v>ZSES2H6</v>
      </c>
      <c r="P11" s="172" t="str">
        <f t="shared" si="4"/>
        <v>2</v>
      </c>
      <c r="Q11" s="177" t="str">
        <f>IF(LEFT(RTD("cqg.rtd",,"ContractData",$Q$1&amp;"?"&amp;R44,"Symbol"),LEN($Q$1))=LEFT(RTD("cqg.rtd",,"ContractData",$Q$1&amp;"?"&amp;$R$35,"Symbol"),LEN($Q$1)),RTD("cqg.rtd",,"ContractData",$Q$1&amp;"?"&amp;R44,"Symbol"),NA())</f>
        <v>ZSEH26</v>
      </c>
      <c r="R11" s="178">
        <f>RTD("cqg.rtd", ,"ContractData", Q11, $R$1,,"T")</f>
        <v>1051.75</v>
      </c>
      <c r="S11" s="178">
        <f>RTD("cqg.rtd", ,"ContractData", Q11,$S$1,,"T")</f>
        <v>1051.25</v>
      </c>
      <c r="T11" s="178">
        <f>RTD("cqg.rtd", ,"ContractData", Q11,$T$1,,"T")</f>
        <v>1052.25</v>
      </c>
      <c r="U11" s="175">
        <f>RTD("cqg.rtd", ,"ContractData", "F."&amp;$Q$1&amp;"?10", $U$1,,"T")</f>
        <v>-9.5</v>
      </c>
      <c r="V11" s="172" t="str">
        <f>M2</f>
        <v>ZSES2H6</v>
      </c>
      <c r="W11" s="175">
        <f>RTD("cqg.rtd", ,"ContractData", V11, $W$1,,"T")</f>
        <v>-12.75</v>
      </c>
      <c r="X11" s="175">
        <f>RTD("cqg.rtd", ,"ContractData", V11, $X$1,,"T")</f>
        <v>2</v>
      </c>
      <c r="Y11" s="175">
        <f>RTD("cqg.rtd", ,"ContractData",V11,$Y$1,,"T")</f>
        <v>-13.5</v>
      </c>
      <c r="Z11" s="175">
        <f>RTD("cqg.rtd", ,"ContractData", V11,$Z$1,,"T")</f>
        <v>-12</v>
      </c>
      <c r="AA11" s="175">
        <f t="shared" si="5"/>
        <v>-12.75</v>
      </c>
      <c r="AB11" s="175">
        <f t="shared" si="0"/>
        <v>1051.75</v>
      </c>
      <c r="AC11" s="175">
        <f t="shared" si="11"/>
        <v>1051.75</v>
      </c>
      <c r="AD11" s="175">
        <f t="shared" si="6"/>
        <v>-12.75</v>
      </c>
      <c r="AF11" s="171">
        <f t="shared" si="7"/>
        <v>1051.75</v>
      </c>
      <c r="AG11" s="171">
        <f t="shared" si="8"/>
        <v>-12.75</v>
      </c>
      <c r="AH11" s="171">
        <f t="shared" si="9"/>
        <v>0</v>
      </c>
      <c r="AI11" s="171" t="str">
        <f>IFERROR(IF(LEFT(RTD("cqg.rtd",,"ContractData",V11,"LongDescription",,"T"),3)="768","",RIGHT(LEFT(RTD("cqg.rtd", ,"ContractData",V11, "LongDescription",, "T"),LEN(RTD("cqg.rtd", ,"ContractData",V11, "LongDescription",, "T"))-1),LEN(RTD("cqg.rtd", ,"ContractData",V11, "LongDescription",, "T"))-FIND(LEFT(V11,3),RTD("cqg.rtd", ,"ContractData",V11, "LongDescription",, "T"))+2)),"")</f>
        <v>1*ZSEH26-1*ZSEN26</v>
      </c>
      <c r="AJ11" s="171">
        <f>RTD("cqg.rtd", ,"ContractData",Q11, "Settlement",,"T")</f>
        <v>1061.75</v>
      </c>
      <c r="AK11" s="171">
        <f>RTD("cqg.rtd", ,"ContractData",V11, "Settlement",,"T")</f>
        <v>-14</v>
      </c>
      <c r="AL11" s="171">
        <f t="shared" si="10"/>
        <v>1061.75</v>
      </c>
    </row>
    <row r="12" spans="1:38" x14ac:dyDescent="0.2">
      <c r="A12" s="170" t="str">
        <f t="shared" si="1"/>
        <v>ZSEK26</v>
      </c>
      <c r="B12" s="170" t="str">
        <f>RTD("cqg.rtd", ,"ContractData",A12, "ContractMonth")</f>
        <v>MAY</v>
      </c>
      <c r="C12" s="176" t="str">
        <f t="shared" si="2"/>
        <v>K6</v>
      </c>
      <c r="D12" s="171" t="str">
        <f t="shared" si="3"/>
        <v>ZSES2K6</v>
      </c>
      <c r="P12" s="172" t="str">
        <f t="shared" si="4"/>
        <v>2</v>
      </c>
      <c r="Q12" s="177" t="str">
        <f>IF(LEFT(RTD("cqg.rtd",,"ContractData",$Q$1&amp;"?"&amp;R45,"Symbol"),LEN($Q$1))=LEFT(RTD("cqg.rtd",,"ContractData",$Q$1&amp;"?"&amp;$R$35,"Symbol"),LEN($Q$1)),RTD("cqg.rtd",,"ContractData",$Q$1&amp;"?"&amp;R45,"Symbol"),NA())</f>
        <v>ZSEK26</v>
      </c>
      <c r="R12" s="178">
        <f>RTD("cqg.rtd", ,"ContractData", Q12, $R$1,,"T")</f>
        <v>1064</v>
      </c>
      <c r="S12" s="178">
        <f>RTD("cqg.rtd", ,"ContractData", Q12,$S$1,,"T")</f>
        <v>1056.25</v>
      </c>
      <c r="T12" s="178">
        <f>RTD("cqg.rtd", ,"ContractData", Q12,$T$1,,"T")</f>
        <v>1057.75</v>
      </c>
      <c r="U12" s="175">
        <f>RTD("cqg.rtd", ,"ContractData", "F."&amp;$Q$1&amp;"?11",$U$1,,"T")</f>
        <v>-10</v>
      </c>
      <c r="V12" s="172" t="str">
        <f>N2</f>
        <v>ZSES2K6</v>
      </c>
      <c r="W12" s="175" t="str">
        <f>RTD("cqg.rtd", ,"ContractData", V12, $W$1,,"T")</f>
        <v/>
      </c>
      <c r="X12" s="175" t="str">
        <f>RTD("cqg.rtd", ,"ContractData", V12, $X$1,,"T")</f>
        <v/>
      </c>
      <c r="Y12" s="175" t="str">
        <f>RTD("cqg.rtd", ,"ContractData",V12,$Y$1,,"T")</f>
        <v/>
      </c>
      <c r="Z12" s="175" t="str">
        <f>RTD("cqg.rtd", ,"ContractData", V12,$Z$1,,"T")</f>
        <v/>
      </c>
      <c r="AA12" s="175" t="e">
        <f t="shared" si="5"/>
        <v>#VALUE!</v>
      </c>
      <c r="AB12" s="175">
        <f t="shared" si="0"/>
        <v>1057</v>
      </c>
      <c r="AC12" s="175">
        <f t="shared" si="11"/>
        <v>1057</v>
      </c>
      <c r="AD12" s="175" t="str">
        <f t="shared" si="6"/>
        <v/>
      </c>
      <c r="AF12" s="171">
        <f t="shared" si="7"/>
        <v>1057</v>
      </c>
      <c r="AG12" s="171" t="e">
        <f t="shared" si="8"/>
        <v>#N/A</v>
      </c>
      <c r="AH12" s="171">
        <f t="shared" si="9"/>
        <v>0</v>
      </c>
      <c r="AI12" s="171" t="str">
        <f>IFERROR(IF(LEFT(RTD("cqg.rtd",,"ContractData",V12,"LongDescription",,"T"),3)="768","",RIGHT(LEFT(RTD("cqg.rtd", ,"ContractData",V12, "LongDescription",, "T"),LEN(RTD("cqg.rtd", ,"ContractData",V12, "LongDescription",, "T"))-1),LEN(RTD("cqg.rtd", ,"ContractData",V12, "LongDescription",, "T"))-FIND(LEFT(V12,3),RTD("cqg.rtd", ,"ContractData",V12, "LongDescription",, "T"))+2)),"")</f>
        <v>1*ZSEK26-1*ZSEQ26</v>
      </c>
      <c r="AJ12" s="171">
        <f>RTD("cqg.rtd", ,"ContractData",Q12, "Settlement",,"T")</f>
        <v>1067.75</v>
      </c>
      <c r="AK12" s="171">
        <f>RTD("cqg.rtd", ,"ContractData",V12, "Settlement",,"T")</f>
        <v>-4.5</v>
      </c>
      <c r="AL12" s="171">
        <f t="shared" si="10"/>
        <v>1067.75</v>
      </c>
    </row>
    <row r="13" spans="1:38" x14ac:dyDescent="0.2">
      <c r="A13" s="170" t="str">
        <f t="shared" si="1"/>
        <v>ZSEN26</v>
      </c>
      <c r="B13" s="170" t="str">
        <f>RTD("cqg.rtd", ,"ContractData",A13, "ContractMonth")</f>
        <v>JUL</v>
      </c>
      <c r="C13" s="176" t="str">
        <f t="shared" si="2"/>
        <v>N6</v>
      </c>
      <c r="D13" s="171" t="str">
        <f t="shared" si="3"/>
        <v>ZSES2N6</v>
      </c>
      <c r="P13" s="172" t="str">
        <f t="shared" si="4"/>
        <v>2</v>
      </c>
      <c r="Q13" s="177" t="str">
        <f>IF(LEFT(RTD("cqg.rtd",,"ContractData",$Q$1&amp;"?"&amp;R46,"Symbol"),LEN($Q$1))=LEFT(RTD("cqg.rtd",,"ContractData",$Q$1&amp;"?"&amp;$R$35,"Symbol"),LEN($Q$1)),RTD("cqg.rtd",,"ContractData",$Q$1&amp;"?"&amp;R46,"Symbol"),NA())</f>
        <v>ZSEN26</v>
      </c>
      <c r="R13" s="178">
        <f>RTD("cqg.rtd", ,"ContractData", Q13, $R$1,,"T")</f>
        <v>1065.75</v>
      </c>
      <c r="S13" s="178">
        <f>RTD("cqg.rtd", ,"ContractData", Q13,$S$1,,"T")</f>
        <v>1063.5</v>
      </c>
      <c r="T13" s="178">
        <f>RTD("cqg.rtd", ,"ContractData", Q13,$T$1,,"T")</f>
        <v>1065.5</v>
      </c>
      <c r="U13" s="175">
        <f>RTD("cqg.rtd", ,"ContractData", "F."&amp;$Q$1&amp;"?12",$U$1,,"T")</f>
        <v>-12.25</v>
      </c>
      <c r="V13" s="172" t="str">
        <f>O2</f>
        <v>ZSES2N6</v>
      </c>
      <c r="W13" s="175" t="str">
        <f>RTD("cqg.rtd", ,"ContractData", V13, $W$1,,"T")</f>
        <v/>
      </c>
      <c r="X13" s="175" t="str">
        <f>RTD("cqg.rtd", ,"ContractData", V13, $X$1,,"T")</f>
        <v/>
      </c>
      <c r="Y13" s="175">
        <f>RTD("cqg.rtd", ,"ContractData",V13,$Y$1,,"T")</f>
        <v>9.25</v>
      </c>
      <c r="Z13" s="175">
        <f>RTD("cqg.rtd", ,"ContractData", V13,$Z$1,,"T")</f>
        <v>17.5</v>
      </c>
      <c r="AA13" s="175">
        <f t="shared" si="5"/>
        <v>13.375</v>
      </c>
      <c r="AB13" s="175">
        <f t="shared" si="0"/>
        <v>1064.5</v>
      </c>
      <c r="AC13" s="175">
        <f t="shared" si="11"/>
        <v>1064.5</v>
      </c>
      <c r="AD13" s="175">
        <f t="shared" si="6"/>
        <v>13.375</v>
      </c>
      <c r="AF13" s="171">
        <f t="shared" si="7"/>
        <v>1064.5</v>
      </c>
      <c r="AG13" s="171">
        <f t="shared" si="8"/>
        <v>13.38</v>
      </c>
      <c r="AH13" s="171">
        <f t="shared" si="9"/>
        <v>0</v>
      </c>
      <c r="AI13" s="171" t="str">
        <f>IFERROR(IF(LEFT(RTD("cqg.rtd",,"ContractData",V13,"LongDescription",,"T"),3)="768","",RIGHT(LEFT(RTD("cqg.rtd", ,"ContractData",V13, "LongDescription",, "T"),LEN(RTD("cqg.rtd", ,"ContractData",V13, "LongDescription",, "T"))-1),LEN(RTD("cqg.rtd", ,"ContractData",V13, "LongDescription",, "T"))-FIND(LEFT(V13,3),RTD("cqg.rtd", ,"ContractData",V13, "LongDescription",, "T"))+2)),"")</f>
        <v>1*ZSEN26-1*ZSEU26</v>
      </c>
      <c r="AJ13" s="171">
        <f>RTD("cqg.rtd", ,"ContractData",Q13, "Settlement",,"T")</f>
        <v>1075.75</v>
      </c>
      <c r="AK13" s="171">
        <f>RTD("cqg.rtd", ,"ContractData",V13, "Settlement",,"T")</f>
        <v>16.25</v>
      </c>
      <c r="AL13" s="171">
        <f t="shared" si="10"/>
        <v>1075.75</v>
      </c>
    </row>
    <row r="14" spans="1:38" x14ac:dyDescent="0.2"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</row>
    <row r="15" spans="1:38" x14ac:dyDescent="0.2">
      <c r="E15" s="171" t="b">
        <v>0</v>
      </c>
      <c r="F15" s="171" t="s">
        <v>33</v>
      </c>
      <c r="G15" s="171" t="s">
        <v>34</v>
      </c>
      <c r="P15" s="172"/>
      <c r="Q15" s="172"/>
      <c r="R15" s="172"/>
      <c r="S15" s="172"/>
      <c r="T15" s="172"/>
      <c r="U15" s="172"/>
    </row>
    <row r="16" spans="1:38" x14ac:dyDescent="0.2">
      <c r="A16" s="171">
        <f>Main!K4</f>
        <v>10</v>
      </c>
      <c r="B16" s="171">
        <f>Main!L4</f>
        <v>15</v>
      </c>
      <c r="C16" s="171">
        <f>Main!M4</f>
        <v>2024</v>
      </c>
      <c r="D16" s="171" t="str">
        <f>Main!M5</f>
        <v>D</v>
      </c>
      <c r="E16" s="179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991</v>
      </c>
      <c r="G16" s="179">
        <f>IFERROR(AF2-E16,"")</f>
        <v>24.25</v>
      </c>
      <c r="I16" s="171" t="str">
        <f>$Q$1&amp;"?"&amp;R35</f>
        <v>ZSE?1</v>
      </c>
      <c r="J16" s="171" t="str">
        <f t="shared" ref="J16:J27" si="12">$Q$1&amp;"S2??"&amp;R35</f>
        <v>ZSES2??1</v>
      </c>
      <c r="K16" s="171">
        <f>TEXT(IF(LEFT(M16,3)="768",NA(),RTD("cqg.rtd",,"StudyData", "Close("&amp;$J16&amp;")when (LocalMonth("&amp;$J16&amp;")="&amp;$A$16&amp;" and LocalDay("&amp;$J16&amp;")="&amp;$B$16&amp;" and LocalYear("&amp;$J16&amp;")="&amp;$C$16&amp;")", "Bar", "", "Close",$D$16, "0","ALL","", "",$E$15,$F$15)),$E$29)*1</f>
        <v>-25.75</v>
      </c>
      <c r="L16" s="171">
        <f>TEXT(IFERROR(AG2-K16,""),$E$29)*1</f>
        <v>0.25</v>
      </c>
      <c r="M16" s="171" t="str">
        <f>RTD("cqg.rtd", ,"ContractData", J16,"Symbol",,"T")</f>
        <v>ZSES2X24</v>
      </c>
    </row>
    <row r="17" spans="5:29" x14ac:dyDescent="0.2">
      <c r="E17" s="179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1003.5</v>
      </c>
      <c r="G17" s="179">
        <f t="shared" ref="G17:G27" si="13">IFERROR(AF3-E17,"")</f>
        <v>23.75</v>
      </c>
      <c r="I17" s="171" t="str">
        <f t="shared" ref="I17:I27" si="14">$Q$1&amp;"?"&amp;R36</f>
        <v>ZSE?2</v>
      </c>
      <c r="J17" s="171" t="str">
        <f t="shared" si="12"/>
        <v>ZSES2??2</v>
      </c>
      <c r="K17" s="171">
        <f>TEXT(IF(LEFT(M17,3)="768",NA(),RTD("cqg.rtd",,"StudyData", "Close("&amp;$J17&amp;")when (LocalMonth("&amp;$J17&amp;")="&amp;$A$16&amp;" and LocalDay("&amp;$J17&amp;")="&amp;$B$16&amp;" and LocalYear("&amp;$J17&amp;")="&amp;$C$16&amp;")", "Bar", "", "Close",$D$16, "0","ALL","", "",$E$15,$F$15)),$E$29)*1</f>
        <v>-27</v>
      </c>
      <c r="L17" s="171">
        <f t="shared" ref="L17:L27" si="15">TEXT(IFERROR(AG3-K17,""),$E$29)*1</f>
        <v>2.5</v>
      </c>
      <c r="M17" s="171" t="str">
        <f>RTD("cqg.rtd", ,"ContractData", J17,"Symbol",,"T")</f>
        <v>ZSES2F25</v>
      </c>
      <c r="AB17" s="179"/>
      <c r="AC17" s="179"/>
    </row>
    <row r="18" spans="5:29" x14ac:dyDescent="0.2">
      <c r="E18" s="179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1016.75</v>
      </c>
      <c r="G18" s="179">
        <f t="shared" si="13"/>
        <v>22.25</v>
      </c>
      <c r="I18" s="171" t="str">
        <f t="shared" si="14"/>
        <v>ZSE?3</v>
      </c>
      <c r="J18" s="171" t="str">
        <f t="shared" si="12"/>
        <v>ZSES2??3</v>
      </c>
      <c r="K18" s="171">
        <f>TEXT(IF(LEFT(M18,3)="768",NA(),RTD("cqg.rtd",,"StudyData", "Close("&amp;$J18&amp;")when (LocalMonth("&amp;$J18&amp;")="&amp;$A$16&amp;" and LocalDay("&amp;$J18&amp;")="&amp;$B$16&amp;" and LocalYear("&amp;$J18&amp;")="&amp;$C$16&amp;")", "Bar", "", "Close",$D$16, "0","ALL","", "",$E$15,$F$15)),$E$29)*1</f>
        <v>-24.5</v>
      </c>
      <c r="L18" s="171">
        <f t="shared" si="15"/>
        <v>1</v>
      </c>
      <c r="M18" s="171" t="str">
        <f>RTD("cqg.rtd", ,"ContractData", J18,"Symbol",,"T")</f>
        <v>ZSES2H25</v>
      </c>
      <c r="AB18" s="179"/>
      <c r="AC18" s="179"/>
    </row>
    <row r="19" spans="5:29" x14ac:dyDescent="0.2">
      <c r="E19" s="179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1030.5</v>
      </c>
      <c r="G19" s="179">
        <f t="shared" si="13"/>
        <v>20.75</v>
      </c>
      <c r="I19" s="171" t="str">
        <f t="shared" si="14"/>
        <v>ZSE?4</v>
      </c>
      <c r="J19" s="171" t="str">
        <f t="shared" si="12"/>
        <v>ZSES2??4</v>
      </c>
      <c r="K19" s="171">
        <f>TEXT(IF(LEFT(M19,3)="768",NA(),RTD("cqg.rtd",,"StudyData", "Close("&amp;$J19&amp;")when (LocalMonth("&amp;$J19&amp;")="&amp;$A$16&amp;" and LocalDay("&amp;$J19&amp;")="&amp;$B$16&amp;" and LocalYear("&amp;$J19&amp;")="&amp;$C$16&amp;")", "Bar", "", "Close",$D$16, "0","ALL","", "",$E$15,$F$15)),$E$29)*1</f>
        <v>-11</v>
      </c>
      <c r="L19" s="171">
        <f t="shared" si="15"/>
        <v>2</v>
      </c>
      <c r="M19" s="171" t="str">
        <f>RTD("cqg.rtd", ,"ContractData", J19,"Symbol",,"T")</f>
        <v>ZSES2K25</v>
      </c>
      <c r="AB19" s="179"/>
      <c r="AC19" s="179"/>
    </row>
    <row r="20" spans="5:29" x14ac:dyDescent="0.2">
      <c r="E20" s="179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1041.25</v>
      </c>
      <c r="G20" s="179">
        <f t="shared" si="13"/>
        <v>21.25</v>
      </c>
      <c r="I20" s="171" t="str">
        <f t="shared" si="14"/>
        <v>ZSE?5</v>
      </c>
      <c r="J20" s="171" t="str">
        <f t="shared" si="12"/>
        <v>ZSES2??5</v>
      </c>
      <c r="K20" s="171">
        <f>TEXT(IF(LEFT(M20,3)="768",NA(),RTD("cqg.rtd",,"StudyData", "Close("&amp;$J20&amp;")when (LocalMonth("&amp;$J20&amp;")="&amp;$A$16&amp;" and LocalDay("&amp;$J20&amp;")="&amp;$B$16&amp;" and LocalYear("&amp;$J20&amp;")="&amp;$C$16&amp;")", "Bar", "", "Close",$D$16, "0","ALL","", "",$E$15,$F$15)),$E$29)*1</f>
        <v>8</v>
      </c>
      <c r="L20" s="171">
        <f t="shared" si="15"/>
        <v>9.25</v>
      </c>
      <c r="M20" s="171" t="str">
        <f>RTD("cqg.rtd", ,"ContractData", J20,"Symbol",,"T")</f>
        <v>ZSES2N25</v>
      </c>
      <c r="U20" s="180"/>
      <c r="V20" s="180"/>
      <c r="AB20" s="179"/>
      <c r="AC20" s="179"/>
    </row>
    <row r="21" spans="5:29" x14ac:dyDescent="0.2">
      <c r="E21" s="179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1041.5</v>
      </c>
      <c r="G21" s="179">
        <f t="shared" si="13"/>
        <v>19</v>
      </c>
      <c r="I21" s="171" t="str">
        <f t="shared" si="14"/>
        <v>ZSE?6</v>
      </c>
      <c r="J21" s="171" t="str">
        <f t="shared" si="12"/>
        <v>ZSES2??6</v>
      </c>
      <c r="K21" s="171">
        <f>TEXT(IF(LEFT(M21,3)="768",NA(),RTD("cqg.rtd",,"StudyData", "Close("&amp;$J21&amp;")when (LocalMonth("&amp;$J21&amp;")="&amp;$A$16&amp;" and LocalDay("&amp;$J21&amp;")="&amp;$B$16&amp;" and LocalYear("&amp;$J21&amp;")="&amp;$C$16&amp;")", "Bar", "", "Close",$D$16, "0","ALL","", "",$E$15,$F$15)),$E$29)*1</f>
        <v>5.75</v>
      </c>
      <c r="L21" s="171">
        <f t="shared" si="15"/>
        <v>12</v>
      </c>
      <c r="M21" s="171" t="str">
        <f>RTD("cqg.rtd", ,"ContractData", J21,"Symbol",,"T")</f>
        <v>ZSES2Q25</v>
      </c>
      <c r="T21" s="179"/>
      <c r="U21" s="179"/>
      <c r="V21" s="179"/>
      <c r="X21" s="179"/>
      <c r="Y21" s="179"/>
      <c r="Z21" s="179"/>
      <c r="AB21" s="179"/>
      <c r="AC21" s="179"/>
    </row>
    <row r="22" spans="5:29" x14ac:dyDescent="0.2">
      <c r="E22" s="179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1033.25</v>
      </c>
      <c r="G22" s="179">
        <f t="shared" si="13"/>
        <v>12</v>
      </c>
      <c r="I22" s="171" t="str">
        <f t="shared" si="14"/>
        <v>ZSE?7</v>
      </c>
      <c r="J22" s="171" t="str">
        <f t="shared" si="12"/>
        <v>ZSES2??7</v>
      </c>
      <c r="K22" s="171">
        <f>TEXT(IF(LEFT(M22,3)="768",NA(),RTD("cqg.rtd",,"StudyData", "Close("&amp;$J22&amp;")when (LocalMonth("&amp;$J22&amp;")="&amp;$A$16&amp;" and LocalDay("&amp;$J22&amp;")="&amp;$B$16&amp;" and LocalYear("&amp;$J22&amp;")="&amp;$C$16&amp;")", "Bar", "", "Close",$D$16, "0","ALL","", "",$E$15,$F$15)),$E$29)*1</f>
        <v>-14</v>
      </c>
      <c r="L22" s="171">
        <f t="shared" si="15"/>
        <v>7.25</v>
      </c>
      <c r="M22" s="171" t="str">
        <f>RTD("cqg.rtd", ,"ContractData", J22,"Symbol",,"T")</f>
        <v>ZSES2U25</v>
      </c>
      <c r="T22" s="179"/>
      <c r="U22" s="179"/>
      <c r="V22" s="179"/>
      <c r="X22" s="179"/>
      <c r="Y22" s="179"/>
      <c r="Z22" s="179"/>
      <c r="AB22" s="179"/>
      <c r="AC22" s="179"/>
    </row>
    <row r="23" spans="5:29" x14ac:dyDescent="0.2">
      <c r="E23" s="179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1035.75</v>
      </c>
      <c r="G23" s="179">
        <f t="shared" si="13"/>
        <v>7.25</v>
      </c>
      <c r="I23" s="171" t="str">
        <f t="shared" si="14"/>
        <v>ZSE?8</v>
      </c>
      <c r="J23" s="171" t="str">
        <f t="shared" si="12"/>
        <v>ZSES2??8</v>
      </c>
      <c r="K23" s="171">
        <f>TEXT(IF(LEFT(M23,3)="768",NA(),RTD("cqg.rtd",,"StudyData", "Close("&amp;$J23&amp;")when (LocalMonth("&amp;$J23&amp;")="&amp;$A$16&amp;" and LocalDay("&amp;$J23&amp;")="&amp;$B$16&amp;" and LocalYear("&amp;$J23&amp;")="&amp;$C$16&amp;")", "Bar", "", "Close",$D$16, "0","ALL","", "",$E$15,$F$15)),$E$29)*1</f>
        <v>-15</v>
      </c>
      <c r="L23" s="171">
        <f t="shared" si="15"/>
        <v>6.25</v>
      </c>
      <c r="M23" s="171" t="str">
        <f>RTD("cqg.rtd", ,"ContractData", J23,"Symbol",,"T")</f>
        <v>ZSES2X25</v>
      </c>
      <c r="T23" s="179"/>
      <c r="U23" s="179"/>
      <c r="V23" s="179"/>
      <c r="X23" s="179"/>
      <c r="Y23" s="179"/>
      <c r="Z23" s="179"/>
      <c r="AB23" s="179"/>
      <c r="AC23" s="179"/>
    </row>
    <row r="24" spans="5:29" x14ac:dyDescent="0.2">
      <c r="E24" s="179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1047.25</v>
      </c>
      <c r="G24" s="179">
        <f t="shared" si="13"/>
        <v>5</v>
      </c>
      <c r="I24" s="171" t="str">
        <f t="shared" si="14"/>
        <v>ZSE?9</v>
      </c>
      <c r="J24" s="171" t="str">
        <f t="shared" si="12"/>
        <v>ZSES2??9</v>
      </c>
      <c r="K24" s="171">
        <f>TEXT(IF(LEFT(M24,3)="768",NA(),RTD("cqg.rtd",,"StudyData", "Close("&amp;$J24&amp;")when (LocalMonth("&amp;$J24&amp;")="&amp;$A$16&amp;" and LocalDay("&amp;$J24&amp;")="&amp;$B$16&amp;" and LocalYear("&amp;$J24&amp;")="&amp;$C$16&amp;")", "Bar", "", "Close",$D$16, "0","ALL","", "",$E$15,$F$15)),$E$29)*1</f>
        <v>-9.75</v>
      </c>
      <c r="L24" s="171">
        <f t="shared" si="15"/>
        <v>4.75</v>
      </c>
      <c r="M24" s="171" t="str">
        <f>RTD("cqg.rtd", ,"ContractData", J24,"Symbol",,"T")</f>
        <v>ZSES2F26</v>
      </c>
      <c r="T24" s="179"/>
      <c r="U24" s="179"/>
      <c r="V24" s="179"/>
      <c r="X24" s="179"/>
      <c r="Y24" s="179"/>
      <c r="Z24" s="179"/>
      <c r="AB24" s="179"/>
      <c r="AC24" s="179"/>
    </row>
    <row r="25" spans="5:29" x14ac:dyDescent="0.2">
      <c r="E25" s="179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1050.75</v>
      </c>
      <c r="G25" s="179">
        <f t="shared" si="13"/>
        <v>1</v>
      </c>
      <c r="I25" s="171" t="str">
        <f t="shared" si="14"/>
        <v>ZSE?10</v>
      </c>
      <c r="J25" s="171" t="str">
        <f t="shared" si="12"/>
        <v>ZSES2??10</v>
      </c>
      <c r="K25" s="171">
        <f>TEXT(IF(LEFT(M25,3)="768",NA(),RTD("cqg.rtd",,"StudyData", "Close("&amp;$J25&amp;")when (LocalMonth("&amp;$J25&amp;")="&amp;$A$16&amp;" and LocalDay("&amp;$J25&amp;")="&amp;$B$16&amp;" and LocalYear("&amp;$J25&amp;")="&amp;$C$16&amp;")", "Bar", "", "Close",$D$16, "0","ALL","", "",$E$15,$F$15)),$E$29)*1</f>
        <v>-14</v>
      </c>
      <c r="L25" s="171">
        <f t="shared" si="15"/>
        <v>1.25</v>
      </c>
      <c r="M25" s="171" t="str">
        <f>RTD("cqg.rtd", ,"ContractData", J25,"Symbol",,"T")</f>
        <v>ZSES2H26</v>
      </c>
      <c r="T25" s="179"/>
      <c r="U25" s="179"/>
      <c r="V25" s="179"/>
      <c r="X25" s="179"/>
      <c r="Y25" s="179"/>
      <c r="Z25" s="179"/>
    </row>
    <row r="26" spans="5:29" x14ac:dyDescent="0.2">
      <c r="E26" s="179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1057</v>
      </c>
      <c r="G26" s="179">
        <f t="shared" si="13"/>
        <v>0</v>
      </c>
      <c r="I26" s="171" t="str">
        <f t="shared" si="14"/>
        <v>ZSE?11</v>
      </c>
      <c r="J26" s="171" t="str">
        <f t="shared" si="12"/>
        <v>ZSES2??11</v>
      </c>
      <c r="K26" s="171">
        <f>TEXT(IF(LEFT(M26,3)="768",NA(),RTD("cqg.rtd",,"StudyData", "Close("&amp;$J26&amp;")when (LocalMonth("&amp;$J26&amp;")="&amp;$A$16&amp;" and LocalDay("&amp;$J26&amp;")="&amp;$B$16&amp;" and LocalYear("&amp;$J26&amp;")="&amp;$C$16&amp;")", "Bar", "", "Close",$D$16, "0","ALL","", "",$E$15,$F$15)),$E$29)*1</f>
        <v>-2.25</v>
      </c>
      <c r="L26" s="171" t="e">
        <f t="shared" si="15"/>
        <v>#VALUE!</v>
      </c>
      <c r="M26" s="171" t="str">
        <f>RTD("cqg.rtd", ,"ContractData", J26,"Symbol",,"T")</f>
        <v>ZSES2K26</v>
      </c>
      <c r="T26" s="179"/>
      <c r="U26" s="179"/>
      <c r="V26" s="179"/>
      <c r="X26" s="179"/>
      <c r="Y26" s="179"/>
      <c r="Z26" s="179"/>
    </row>
    <row r="27" spans="5:29" x14ac:dyDescent="0.2">
      <c r="E27" s="179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1064.75</v>
      </c>
      <c r="G27" s="179">
        <f t="shared" si="13"/>
        <v>-0.25</v>
      </c>
      <c r="I27" s="171" t="str">
        <f t="shared" si="14"/>
        <v>ZSE?12</v>
      </c>
      <c r="J27" s="171" t="str">
        <f t="shared" si="12"/>
        <v>ZSES2??12</v>
      </c>
      <c r="K27" s="171">
        <f>TEXT(IF(LEFT(M27,3)="768",NA(),RTD("cqg.rtd",,"StudyData", "Close("&amp;$J27&amp;")when (LocalMonth("&amp;$J27&amp;")="&amp;$A$16&amp;" and LocalDay("&amp;$J27&amp;")="&amp;$B$16&amp;" and LocalYear("&amp;$J27&amp;")="&amp;$C$16&amp;")", "Bar", "", "Close",$D$16, "0","ALL","", "",$E$15,$F$15)),$E$29)*1</f>
        <v>16.75</v>
      </c>
      <c r="L27" s="171">
        <f t="shared" si="15"/>
        <v>-3.37</v>
      </c>
      <c r="M27" s="171" t="str">
        <f>RTD("cqg.rtd", ,"ContractData", J27,"Symbol",,"T")</f>
        <v>ZSES2N26</v>
      </c>
      <c r="T27" s="179"/>
      <c r="U27" s="179"/>
      <c r="V27" s="179"/>
      <c r="X27" s="179"/>
      <c r="Y27" s="179"/>
      <c r="Z27" s="179"/>
    </row>
    <row r="28" spans="5:29" x14ac:dyDescent="0.2">
      <c r="T28" s="179"/>
      <c r="U28" s="179"/>
      <c r="V28" s="179"/>
      <c r="X28" s="179"/>
      <c r="Y28" s="179"/>
      <c r="Z28" s="179"/>
    </row>
    <row r="29" spans="5:29" x14ac:dyDescent="0.2">
      <c r="E29" s="171" t="str">
        <f>Main!D1</f>
        <v>#.00</v>
      </c>
      <c r="T29" s="179"/>
      <c r="U29" s="179"/>
      <c r="V29" s="179"/>
      <c r="X29" s="179"/>
      <c r="Y29" s="179"/>
      <c r="Z29" s="179"/>
    </row>
    <row r="30" spans="5:29" x14ac:dyDescent="0.2">
      <c r="T30" s="179"/>
      <c r="U30" s="179"/>
      <c r="V30" s="179"/>
      <c r="X30" s="179"/>
      <c r="Y30" s="179"/>
      <c r="Z30" s="179"/>
    </row>
    <row r="31" spans="5:29" x14ac:dyDescent="0.2">
      <c r="T31" s="179"/>
      <c r="U31" s="179"/>
      <c r="V31" s="179"/>
      <c r="X31" s="179"/>
      <c r="Y31" s="179"/>
      <c r="Z31" s="179"/>
    </row>
    <row r="32" spans="5:29" x14ac:dyDescent="0.2">
      <c r="T32" s="179"/>
      <c r="U32" s="179"/>
      <c r="V32" s="179"/>
      <c r="X32" s="179"/>
      <c r="Y32" s="179"/>
      <c r="Z32" s="179"/>
    </row>
    <row r="33" spans="18:26" x14ac:dyDescent="0.2">
      <c r="R33" s="171" t="s">
        <v>39</v>
      </c>
      <c r="T33" s="179"/>
      <c r="U33" s="179"/>
      <c r="V33" s="179"/>
    </row>
    <row r="34" spans="18:26" x14ac:dyDescent="0.2">
      <c r="R34" s="171" t="s">
        <v>6</v>
      </c>
      <c r="T34" s="179"/>
      <c r="U34" s="179"/>
      <c r="V34" s="179"/>
      <c r="X34" s="179"/>
      <c r="Y34" s="179"/>
      <c r="Z34" s="171" t="s">
        <v>17</v>
      </c>
    </row>
    <row r="35" spans="18:26" x14ac:dyDescent="0.2">
      <c r="R35" s="171">
        <v>1</v>
      </c>
      <c r="S35" s="171" t="str">
        <f>RTD("cqg.rtd",,"ContractData",Q1&amp;"?1", "Symbol")</f>
        <v>ZSEX24</v>
      </c>
      <c r="T35" s="179"/>
      <c r="U35" s="179"/>
      <c r="V35" s="179"/>
      <c r="X35" s="179"/>
      <c r="Y35" s="179"/>
      <c r="Z35" s="171" t="s">
        <v>18</v>
      </c>
    </row>
    <row r="36" spans="18:26" x14ac:dyDescent="0.2">
      <c r="R36" s="171">
        <f>R35+1</f>
        <v>2</v>
      </c>
      <c r="S36" s="171" t="str">
        <f>RTD("cqg.rtd",,"ContractData",Q1&amp;"?2", "Symbol")</f>
        <v>ZSEF25</v>
      </c>
      <c r="T36" s="179"/>
      <c r="U36" s="179"/>
      <c r="V36" s="179"/>
      <c r="X36" s="179"/>
      <c r="Y36" s="179"/>
      <c r="Z36" s="171" t="s">
        <v>19</v>
      </c>
    </row>
    <row r="37" spans="18:26" x14ac:dyDescent="0.2">
      <c r="R37" s="171">
        <f t="shared" ref="R37:R46" si="16">R36+1</f>
        <v>3</v>
      </c>
      <c r="T37" s="179"/>
      <c r="U37" s="179"/>
      <c r="V37" s="179"/>
      <c r="X37" s="179"/>
      <c r="Y37" s="179"/>
      <c r="Z37" s="171" t="s">
        <v>20</v>
      </c>
    </row>
    <row r="38" spans="18:26" x14ac:dyDescent="0.2">
      <c r="R38" s="171">
        <f t="shared" si="16"/>
        <v>4</v>
      </c>
      <c r="T38" s="179"/>
      <c r="U38" s="179"/>
      <c r="V38" s="179"/>
      <c r="X38" s="179"/>
      <c r="Y38" s="179"/>
      <c r="Z38" s="171" t="s">
        <v>21</v>
      </c>
    </row>
    <row r="39" spans="18:26" x14ac:dyDescent="0.2">
      <c r="R39" s="171">
        <f t="shared" si="16"/>
        <v>5</v>
      </c>
      <c r="T39" s="179"/>
      <c r="U39" s="179"/>
      <c r="V39" s="179"/>
      <c r="X39" s="179"/>
      <c r="Y39" s="179"/>
      <c r="Z39" s="171" t="s">
        <v>22</v>
      </c>
    </row>
    <row r="40" spans="18:26" x14ac:dyDescent="0.2">
      <c r="R40" s="171">
        <f t="shared" si="16"/>
        <v>6</v>
      </c>
      <c r="T40" s="179"/>
      <c r="U40" s="179"/>
      <c r="V40" s="179"/>
      <c r="X40" s="179"/>
      <c r="Y40" s="179"/>
      <c r="Z40" s="171" t="s">
        <v>23</v>
      </c>
    </row>
    <row r="41" spans="18:26" x14ac:dyDescent="0.2">
      <c r="R41" s="171">
        <f t="shared" si="16"/>
        <v>7</v>
      </c>
      <c r="T41" s="179"/>
      <c r="U41" s="179"/>
      <c r="V41" s="179"/>
      <c r="X41" s="179"/>
      <c r="Y41" s="179"/>
      <c r="Z41" s="171" t="s">
        <v>24</v>
      </c>
    </row>
    <row r="42" spans="18:26" x14ac:dyDescent="0.2">
      <c r="R42" s="171">
        <f t="shared" si="16"/>
        <v>8</v>
      </c>
      <c r="T42" s="179"/>
      <c r="U42" s="179"/>
      <c r="V42" s="179"/>
      <c r="X42" s="179"/>
      <c r="Y42" s="179"/>
      <c r="Z42" s="171" t="s">
        <v>25</v>
      </c>
    </row>
    <row r="43" spans="18:26" x14ac:dyDescent="0.2">
      <c r="R43" s="171">
        <f t="shared" si="16"/>
        <v>9</v>
      </c>
      <c r="T43" s="179"/>
      <c r="U43" s="179"/>
      <c r="V43" s="179"/>
      <c r="X43" s="179"/>
      <c r="Y43" s="179"/>
      <c r="Z43" s="171" t="s">
        <v>26</v>
      </c>
    </row>
    <row r="44" spans="18:26" x14ac:dyDescent="0.2">
      <c r="R44" s="171">
        <f t="shared" si="16"/>
        <v>10</v>
      </c>
      <c r="T44" s="179"/>
      <c r="U44" s="179"/>
      <c r="V44" s="179"/>
    </row>
    <row r="45" spans="18:26" x14ac:dyDescent="0.2">
      <c r="R45" s="171">
        <f t="shared" si="16"/>
        <v>11</v>
      </c>
    </row>
    <row r="46" spans="18:26" x14ac:dyDescent="0.2">
      <c r="R46" s="171">
        <f t="shared" si="16"/>
        <v>12</v>
      </c>
      <c r="Z46" s="179"/>
    </row>
  </sheetData>
  <sheetProtection algorithmName="SHA-512" hashValue="fAtLaizC49Rup22dFwwSj9B7BOdk3eyVzVZk5xHLnDCPT4IkaCfY+j/3qw+kp7CxJnBiqvV742XpyDiHbyGrKw==" saltValue="HxFPQ25twAvBA81oJ8fIC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46"/>
  <sheetViews>
    <sheetView workbookViewId="0"/>
  </sheetViews>
  <sheetFormatPr defaultColWidth="9" defaultRowHeight="14.25" x14ac:dyDescent="0.2"/>
  <cols>
    <col min="1" max="17" width="9" style="171"/>
    <col min="18" max="18" width="14.375" style="171" customWidth="1"/>
    <col min="19" max="19" width="9" style="171"/>
    <col min="20" max="20" width="15.25" style="171" customWidth="1"/>
    <col min="21" max="21" width="17.75" style="171" customWidth="1"/>
    <col min="22" max="22" width="11.25" style="171" customWidth="1"/>
    <col min="23" max="23" width="40" style="171" customWidth="1"/>
    <col min="24" max="24" width="12.875" style="171" customWidth="1"/>
    <col min="25" max="16384" width="9" style="171"/>
  </cols>
  <sheetData>
    <row r="1" spans="1:38" x14ac:dyDescent="0.2">
      <c r="A1" s="170"/>
      <c r="B1" s="170"/>
      <c r="C1" s="170" t="s">
        <v>2</v>
      </c>
      <c r="D1" s="171">
        <v>3</v>
      </c>
      <c r="E1" s="171">
        <v>2</v>
      </c>
      <c r="F1" s="171">
        <v>3</v>
      </c>
      <c r="G1" s="171">
        <v>4</v>
      </c>
      <c r="H1" s="171">
        <v>5</v>
      </c>
      <c r="I1" s="171">
        <v>6</v>
      </c>
      <c r="J1" s="171">
        <v>7</v>
      </c>
      <c r="K1" s="171">
        <v>8</v>
      </c>
      <c r="L1" s="171">
        <v>9</v>
      </c>
      <c r="M1" s="171">
        <v>10</v>
      </c>
      <c r="N1" s="171">
        <v>11</v>
      </c>
      <c r="O1" s="171">
        <v>12</v>
      </c>
      <c r="P1" s="172"/>
      <c r="Q1" s="173" t="str">
        <f>Main!B4</f>
        <v>ZSE</v>
      </c>
      <c r="R1" s="174" t="s">
        <v>3</v>
      </c>
      <c r="S1" s="174" t="s">
        <v>0</v>
      </c>
      <c r="T1" s="174" t="s">
        <v>1</v>
      </c>
      <c r="U1" s="172" t="s">
        <v>4</v>
      </c>
      <c r="V1" s="172"/>
      <c r="W1" s="174" t="s">
        <v>3</v>
      </c>
      <c r="X1" s="172" t="s">
        <v>4</v>
      </c>
      <c r="Y1" s="174" t="s">
        <v>0</v>
      </c>
      <c r="Z1" s="174" t="s">
        <v>1</v>
      </c>
      <c r="AA1" s="172" t="s">
        <v>5</v>
      </c>
      <c r="AB1" s="172" t="s">
        <v>5</v>
      </c>
      <c r="AC1" s="175"/>
      <c r="AD1" s="172" t="s">
        <v>5</v>
      </c>
    </row>
    <row r="2" spans="1:38" x14ac:dyDescent="0.2">
      <c r="A2" s="170" t="str">
        <f>Q2</f>
        <v>ZSEX24</v>
      </c>
      <c r="B2" s="170" t="str">
        <f>RTD("cqg.rtd", ,"ContractData",A2, "ContractMonth")</f>
        <v>NOV</v>
      </c>
      <c r="C2" s="176" t="str">
        <f>IF(B2="Jan","F",IF(B2="Feb","G",IF(B2="Mar","H",IF(B2="Apr","J",IF(B2="May","K",IF(B2="JUN","M",IF(B2="Jul","N",IF(B2="Aug","Q",IF(B2="Sep","U",IF(B2="Oct","V",IF(B2="Nov","X",IF(B2="Dec","Z"))))))))))))&amp;RIGHT(A2,1)</f>
        <v>X4</v>
      </c>
      <c r="D2" s="171" t="str">
        <f>$Q$1&amp;$C$1&amp;$D$1&amp;$C2</f>
        <v>ZSES3X4</v>
      </c>
      <c r="E2" s="171" t="str">
        <f>$Q$1&amp;$C$1&amp;$D$1&amp;$C3</f>
        <v>ZSES3F5</v>
      </c>
      <c r="F2" s="171" t="str">
        <f>$Q$1&amp;$C$1&amp;$D$1&amp;$C4</f>
        <v>ZSES3H5</v>
      </c>
      <c r="G2" s="171" t="str">
        <f>$Q$1&amp;$C$1&amp;$D$1&amp;$C5</f>
        <v>ZSES3K5</v>
      </c>
      <c r="H2" s="171" t="str">
        <f>$Q$1&amp;$C$1&amp;$D$1&amp;$C6</f>
        <v>ZSES3N5</v>
      </c>
      <c r="I2" s="171" t="str">
        <f>$Q$1&amp;$C$1&amp;$D$1&amp;$C7</f>
        <v>ZSES3Q5</v>
      </c>
      <c r="J2" s="171" t="str">
        <f>$Q$1&amp;$C$1&amp;$D$1&amp;$C8</f>
        <v>ZSES3U5</v>
      </c>
      <c r="K2" s="171" t="str">
        <f>$Q$1&amp;$C$1&amp;$D$1&amp;$C9</f>
        <v>ZSES3X5</v>
      </c>
      <c r="L2" s="171" t="str">
        <f>$Q$1&amp;$C$1&amp;$D$1&amp;$C10</f>
        <v>ZSES3F6</v>
      </c>
      <c r="M2" s="171" t="str">
        <f>$Q$1&amp;$C$1&amp;$D$1&amp;$C11</f>
        <v>ZSES3H6</v>
      </c>
      <c r="N2" s="171" t="str">
        <f>$Q$1&amp;$C$1&amp;$D$1&amp;$C12</f>
        <v>ZSES3K6</v>
      </c>
      <c r="O2" s="171" t="str">
        <f>$Q$1&amp;$C$1&amp;$D$1&amp;$C13</f>
        <v>ZSES3N6</v>
      </c>
      <c r="P2" s="172" t="str">
        <f>LEFT(RIGHT(Q2,2),1)</f>
        <v>2</v>
      </c>
      <c r="Q2" s="177" t="str">
        <f>RTD("cqg.rtd", ,"ContractData", $Q$1&amp;"?"&amp;R35, "Symbol")</f>
        <v>ZSEX24</v>
      </c>
      <c r="R2" s="178">
        <f>RTD("cqg.rtd", ,"ContractData", Q2, $R$1,,"T")</f>
        <v>1017.25</v>
      </c>
      <c r="S2" s="178">
        <f>RTD("cqg.rtd", ,"ContractData", Q2,$S$1,,"T")</f>
        <v>1014.5</v>
      </c>
      <c r="T2" s="178">
        <f>RTD("cqg.rtd", ,"ContractData", Q2,$T$1,,"T")</f>
        <v>1016</v>
      </c>
      <c r="U2" s="175">
        <f>RTD("cqg.rtd", ,"ContractData", "F."&amp;$Q$1&amp;"?1", $U$1,,"T")</f>
        <v>-0.75</v>
      </c>
      <c r="V2" s="172" t="str">
        <f>D2</f>
        <v>ZSES3X4</v>
      </c>
      <c r="W2" s="175" t="str">
        <f>RTD("cqg.rtd", ,"ContractData", V2, $W$1,,"T")</f>
        <v/>
      </c>
      <c r="X2" s="175">
        <f>RTD("cqg.rtd", ,"ContractData", V2, $X$1,,"T")</f>
        <v>-1.5</v>
      </c>
      <c r="Y2" s="175">
        <f>RTD("cqg.rtd", ,"ContractData",V2,$Y$1,,"T")</f>
        <v>-41.5</v>
      </c>
      <c r="Z2" s="175">
        <f>RTD("cqg.rtd", ,"ContractData", V2,$Z$1,,"T")</f>
        <v>-34.75</v>
      </c>
      <c r="AA2" s="175">
        <f>IF(OR(W2="",W2&lt;Y2,W2&gt;Z2),(Y2+Z2)/2,W2)</f>
        <v>-38.125</v>
      </c>
      <c r="AB2" s="175">
        <f t="shared" ref="AB2:AB13" si="0">IF(OR(S2="",T2=""),R2,(IF(OR(R2="",R2&lt;S2,R2&gt;T2),(S2+T2)/2,R2)))</f>
        <v>1015.25</v>
      </c>
      <c r="AC2" s="175">
        <f>IF(OR(R2="",R2&lt;S2,R2&gt;T2),(S2+T2)/2,R2)</f>
        <v>1015.25</v>
      </c>
      <c r="AD2" s="175">
        <f>IF(LEFT(W2,3)="768",NA(),IF(OR(Y2="",Z2=""),W2,(IF(OR(W2="",W2&lt;Y2,W2&gt;Z2),(Y2+Z2)/2,W2))))</f>
        <v>-38.125</v>
      </c>
      <c r="AF2" s="171">
        <f>IF(ISERROR(AC2),NA(),AC2)</f>
        <v>1015.25</v>
      </c>
      <c r="AG2" s="171">
        <f>TEXT(IF(LEFT(AD2,3)="768",NA(),IF(AD2="",NA(),AD2)),$E$29)*1</f>
        <v>-38.130000000000003</v>
      </c>
      <c r="AH2" s="171">
        <f>IF(P2="F","JAN",IF(P2="G","FEB",IF(P2="H","MAR",IF(P2="J","APR",IF(P2="K","MAY",IF(P2="M","JUN",IF(P2="N","JUL",IF(P2="Q","AUG",IF(P2="U","SEP",IF(P2="V","OCT",IF(P2="X","NOV",IF(P2="Z","DEC",))))))))))))</f>
        <v>0</v>
      </c>
      <c r="AI2" s="171" t="str">
        <f>IFERROR(IF(LEFT(RTD("cqg.rtd",,"ContractData",V2,"LongDescription",,"T"),3)="768","",RIGHT(LEFT(RTD("cqg.rtd", ,"ContractData",V2, "LongDescription",, "T"),LEN(RTD("cqg.rtd", ,"ContractData",V2, "LongDescription",, "T"))-1),LEN(RTD("cqg.rtd", ,"ContractData",V2, "LongDescription",, "T"))-FIND(LEFT(V2,3),RTD("cqg.rtd", ,"ContractData",V2, "LongDescription",, "T"))+2)),"")</f>
        <v>1*ZSEX24-1*ZSEK25</v>
      </c>
      <c r="AJ2" s="171">
        <f>RTD("cqg.rtd", ,"ContractData",Q2, "Settlement",,"T")</f>
        <v>1016.75</v>
      </c>
      <c r="AK2" s="171">
        <f>RTD("cqg.rtd", ,"ContractData",V2, "Settlement",,"T")</f>
        <v>-40</v>
      </c>
      <c r="AL2" s="171">
        <f>IF(AJ2="",NA(),AJ2)</f>
        <v>1016.75</v>
      </c>
    </row>
    <row r="3" spans="1:38" x14ac:dyDescent="0.2">
      <c r="A3" s="170" t="str">
        <f t="shared" ref="A3:A13" si="1">Q3</f>
        <v>ZSEF25</v>
      </c>
      <c r="B3" s="170" t="str">
        <f>RTD("cqg.rtd", ,"ContractData",A3, "ContractMonth")</f>
        <v>JAN</v>
      </c>
      <c r="C3" s="176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F5</v>
      </c>
      <c r="D3" s="171" t="str">
        <f t="shared" ref="D3:D13" si="3">$Q$1&amp;$C$1&amp;$D$1&amp;$C3</f>
        <v>ZSES3F5</v>
      </c>
      <c r="E3" s="171" t="str">
        <f>RTD("cqg.rtd", ,"ContractData", E2,"Symbol",,"T")</f>
        <v>ZSES3F25</v>
      </c>
      <c r="F3" s="171" t="str">
        <f>RTD("cqg.rtd", ,"ContractData", F2,"Symbol",,"T")</f>
        <v>ZSES3H25</v>
      </c>
      <c r="G3" s="171" t="str">
        <f>RTD("cqg.rtd", ,"ContractData", G2,"Symbol",,"T")</f>
        <v>ZSES3K25</v>
      </c>
      <c r="H3" s="171" t="str">
        <f>RTD("cqg.rtd", ,"ContractData", H2,"Symbol",,"T")</f>
        <v>ZSES3N25</v>
      </c>
      <c r="I3" s="171" t="str">
        <f>RTD("cqg.rtd", ,"ContractData", I2,"Symbol",,"T")</f>
        <v>ZSES3Q25</v>
      </c>
      <c r="J3" s="171" t="str">
        <f>RTD("cqg.rtd", ,"ContractData", J2,"Symbol",,"T")</f>
        <v>ZSES3U25</v>
      </c>
      <c r="K3" s="171" t="str">
        <f>RTD("cqg.rtd", ,"ContractData", K2,"Symbol",,"T")</f>
        <v>ZSES3X25</v>
      </c>
      <c r="L3" s="171" t="str">
        <f>RTD("cqg.rtd", ,"ContractData", L2,"Symbol",,"T")</f>
        <v>ZSES3F26</v>
      </c>
      <c r="M3" s="171" t="str">
        <f>RTD("cqg.rtd", ,"ContractData", M2,"Symbol",,"T")</f>
        <v>ZSES3H26</v>
      </c>
      <c r="N3" s="171" t="str">
        <f>RTD("cqg.rtd", ,"ContractData", N2,"Symbol",,"T")</f>
        <v>ZSES3K26</v>
      </c>
      <c r="O3" s="171" t="str">
        <f>RTD("cqg.rtd", ,"ContractData", O2,"Symbol",,"T")</f>
        <v>ZSES3N26</v>
      </c>
      <c r="P3" s="172" t="str">
        <f t="shared" ref="P3:P13" si="4">LEFT(RIGHT(Q3,2),1)</f>
        <v>2</v>
      </c>
      <c r="Q3" s="177" t="str">
        <f>IF(LEFT(RTD("cqg.rtd",,"ContractData",$Q$1&amp;"?"&amp;R36,"Symbol"),LEN($Q$1))=LEFT(RTD("cqg.rtd",,"ContractData",$Q$1&amp;"?"&amp;$R$35,"Symbol"),LEN($Q$1)),RTD("cqg.rtd",,"ContractData",$Q$1&amp;"?"&amp;R36,"Symbol"),NA())</f>
        <v>ZSEF25</v>
      </c>
      <c r="R3" s="178">
        <f>RTD("cqg.rtd", ,"ContractData", Q3, $R$1,,"T")</f>
        <v>1027.25</v>
      </c>
      <c r="S3" s="178">
        <f>RTD("cqg.rtd", ,"ContractData", Q3,$S$1,,"T")</f>
        <v>1027</v>
      </c>
      <c r="T3" s="178">
        <f>RTD("cqg.rtd", ,"ContractData", Q3,$T$1,,"T")</f>
        <v>1027.25</v>
      </c>
      <c r="U3" s="175">
        <f>RTD("cqg.rtd", ,"ContractData", "F."&amp;$Q$1&amp;"?2",  $U$1,,"T")</f>
        <v>-3</v>
      </c>
      <c r="V3" s="172" t="str">
        <f>E2</f>
        <v>ZSES3F5</v>
      </c>
      <c r="W3" s="175">
        <f>RTD("cqg.rtd", ,"ContractData", V3, $W$1,,"T")</f>
        <v>-35.25</v>
      </c>
      <c r="X3" s="175">
        <f>RTD("cqg.rtd", ,"ContractData", V3, $X$1,,"T")</f>
        <v>2.5</v>
      </c>
      <c r="Y3" s="175">
        <f>RTD("cqg.rtd", ,"ContractData",V3,$Y$1,,"T")</f>
        <v>-35.5</v>
      </c>
      <c r="Z3" s="175">
        <f>RTD("cqg.rtd", ,"ContractData", V3,$Z$1,,"T")</f>
        <v>-35.25</v>
      </c>
      <c r="AA3" s="175">
        <f t="shared" ref="AA3:AA13" si="5">IF(OR(W3="",W3&lt;Y3,W3&gt;Z3),(Y3+Z3)/2,W3)</f>
        <v>-35.25</v>
      </c>
      <c r="AB3" s="175">
        <f t="shared" si="0"/>
        <v>1027.25</v>
      </c>
      <c r="AC3" s="175">
        <f>IF(OR(R3="",R3&lt;S3,R3&gt;T3),(S3+T3)/2,R3)</f>
        <v>1027.25</v>
      </c>
      <c r="AD3" s="175">
        <f t="shared" ref="AD3:AD13" si="6">IF(LEFT(W3,3)="768",NA(),IF(OR(Y3="",Z3=""),W3,(IF(OR(W3="",W3&lt;Y3,W3&gt;Z3),(Y3+Z3)/2,W3))))</f>
        <v>-35.25</v>
      </c>
      <c r="AF3" s="171">
        <f t="shared" ref="AF3:AF13" si="7">IF(ISERROR(AC3),NA(),AC3)</f>
        <v>1027.25</v>
      </c>
      <c r="AG3" s="171">
        <f t="shared" ref="AG3:AG13" si="8">TEXT(IF(LEFT(AD3,3)="768",NA(),IF(AD3="",NA(),AD3)),$E$29)*1</f>
        <v>-35.25</v>
      </c>
      <c r="AH3" s="171">
        <f t="shared" ref="AH3:AH13" si="9">IF(P3="F","JAN",IF(P3="G","FEB",IF(P3="H","MAR",IF(P3="J","APR",IF(P3="K","MAY",IF(P3="M","JUN",IF(P3="N","JUL",IF(P3="Q","AUG",IF(P3="U","SEP",IF(P3="V","OCT",IF(P3="X","NOV",IF(P3="Z","DEC",))))))))))))</f>
        <v>0</v>
      </c>
      <c r="AI3" s="171" t="str">
        <f>IFERROR(IF(LEFT(RTD("cqg.rtd",,"ContractData",V3,"LongDescription",,"T"),3)="768","",RIGHT(LEFT(RTD("cqg.rtd", ,"ContractData",V3, "LongDescription",, "T"),LEN(RTD("cqg.rtd", ,"ContractData",V3, "LongDescription",, "T"))-1),LEN(RTD("cqg.rtd", ,"ContractData",V3, "LongDescription",, "T"))-FIND(LEFT(V3,3),RTD("cqg.rtd", ,"ContractData",V3, "LongDescription",, "T"))+2)),"")</f>
        <v>1*ZSEF25-1*ZSEN25</v>
      </c>
      <c r="AJ3" s="171">
        <f>RTD("cqg.rtd", ,"ContractData",Q3, "Settlement",,"T")</f>
        <v>1030.25</v>
      </c>
      <c r="AK3" s="171">
        <f>RTD("cqg.rtd", ,"ContractData",V3, "Settlement",,"T")</f>
        <v>-38</v>
      </c>
      <c r="AL3" s="171">
        <f t="shared" ref="AL3:AL13" si="10">IF(AJ3="",NA(),AJ3)</f>
        <v>1030.25</v>
      </c>
    </row>
    <row r="4" spans="1:38" x14ac:dyDescent="0.2">
      <c r="A4" s="170" t="str">
        <f t="shared" si="1"/>
        <v>ZSEH25</v>
      </c>
      <c r="B4" s="170" t="str">
        <f>RTD("cqg.rtd", ,"ContractData",A4, "ContractMonth")</f>
        <v>MAR</v>
      </c>
      <c r="C4" s="176" t="str">
        <f t="shared" si="2"/>
        <v>H5</v>
      </c>
      <c r="D4" s="171" t="str">
        <f t="shared" si="3"/>
        <v>ZSES3H5</v>
      </c>
      <c r="P4" s="172" t="str">
        <f t="shared" si="4"/>
        <v>2</v>
      </c>
      <c r="Q4" s="177" t="str">
        <f>IF(LEFT(RTD("cqg.rtd",,"ContractData",$Q$1&amp;"?"&amp;R37,"Symbol"),LEN($Q$1))=LEFT(RTD("cqg.rtd",,"ContractData",$Q$1&amp;"?"&amp;$R$35,"Symbol"),LEN($Q$1)),RTD("cqg.rtd",,"ContractData",$Q$1&amp;"?"&amp;R37,"Symbol"),NA())</f>
        <v>ZSEH25</v>
      </c>
      <c r="R4" s="178">
        <f>RTD("cqg.rtd", ,"ContractData", Q4, $R$1,,"T")</f>
        <v>1039</v>
      </c>
      <c r="S4" s="178">
        <f>RTD("cqg.rtd", ,"ContractData", Q4,$S$1,,"T")</f>
        <v>1038.75</v>
      </c>
      <c r="T4" s="178">
        <f>RTD("cqg.rtd", ,"ContractData", Q4,$T$1,,"T")</f>
        <v>1039</v>
      </c>
      <c r="U4" s="175">
        <f>RTD("cqg.rtd", ,"ContractData", "F."&amp;$Q$1&amp;"?3",  $U$1,,"T")</f>
        <v>-4.5</v>
      </c>
      <c r="V4" s="172" t="str">
        <f>F2</f>
        <v>ZSES3H5</v>
      </c>
      <c r="W4" s="175">
        <f>RTD("cqg.rtd", ,"ContractData", V4, $W$1,,"T")</f>
        <v>-21.25</v>
      </c>
      <c r="X4" s="175">
        <f>RTD("cqg.rtd", ,"ContractData", V4, $X$1,,"T")</f>
        <v>2</v>
      </c>
      <c r="Y4" s="175">
        <f>RTD("cqg.rtd", ,"ContractData",V4,$Y$1,,"T")</f>
        <v>-21.75</v>
      </c>
      <c r="Z4" s="175">
        <f>RTD("cqg.rtd", ,"ContractData", V4,$Z$1,,"T")</f>
        <v>-21.25</v>
      </c>
      <c r="AA4" s="175">
        <f t="shared" si="5"/>
        <v>-21.25</v>
      </c>
      <c r="AB4" s="175">
        <f t="shared" si="0"/>
        <v>1039</v>
      </c>
      <c r="AC4" s="175">
        <f t="shared" ref="AC4:AC13" si="11">IF(OR(R4="",R4&lt;S4,R4&gt;T4),(S4+T4)/2,R4)</f>
        <v>1039</v>
      </c>
      <c r="AD4" s="175">
        <f t="shared" si="6"/>
        <v>-21.25</v>
      </c>
      <c r="AF4" s="171">
        <f t="shared" si="7"/>
        <v>1039</v>
      </c>
      <c r="AG4" s="171">
        <f t="shared" si="8"/>
        <v>-21.25</v>
      </c>
      <c r="AH4" s="171">
        <f t="shared" si="9"/>
        <v>0</v>
      </c>
      <c r="AI4" s="171" t="str">
        <f>IFERROR(IF(LEFT(RTD("cqg.rtd",,"ContractData",V4,"LongDescription",,"T"),3)="768","",RIGHT(LEFT(RTD("cqg.rtd", ,"ContractData",V4, "LongDescription",, "T"),LEN(RTD("cqg.rtd", ,"ContractData",V4, "LongDescription",, "T"))-1),LEN(RTD("cqg.rtd", ,"ContractData",V4, "LongDescription",, "T"))-FIND(LEFT(V4,3),RTD("cqg.rtd", ,"ContractData",V4, "LongDescription",, "T"))+2)),"")</f>
        <v>1*ZSEH25-1*ZSEQ25</v>
      </c>
      <c r="AJ4" s="171">
        <f>RTD("cqg.rtd", ,"ContractData",Q4, "Settlement",,"T")</f>
        <v>1043.5</v>
      </c>
      <c r="AK4" s="171">
        <f>RTD("cqg.rtd", ,"ContractData",V4, "Settlement",,"T")</f>
        <v>-23.75</v>
      </c>
      <c r="AL4" s="171">
        <f t="shared" si="10"/>
        <v>1043.5</v>
      </c>
    </row>
    <row r="5" spans="1:38" x14ac:dyDescent="0.2">
      <c r="A5" s="170" t="str">
        <f t="shared" si="1"/>
        <v>ZSEK25</v>
      </c>
      <c r="B5" s="170" t="str">
        <f>RTD("cqg.rtd", ,"ContractData",A5, "ContractMonth")</f>
        <v>MAY</v>
      </c>
      <c r="C5" s="176" t="str">
        <f t="shared" si="2"/>
        <v>K5</v>
      </c>
      <c r="D5" s="171" t="str">
        <f t="shared" si="3"/>
        <v>ZSES3K5</v>
      </c>
      <c r="P5" s="172" t="str">
        <f t="shared" si="4"/>
        <v>2</v>
      </c>
      <c r="Q5" s="177" t="str">
        <f>IF(LEFT(RTD("cqg.rtd",,"ContractData",$Q$1&amp;"?"&amp;R38,"Symbol"),LEN($Q$1))=LEFT(RTD("cqg.rtd",,"ContractData",$Q$1&amp;"?"&amp;$R$35,"Symbol"),LEN($Q$1)),RTD("cqg.rtd",,"ContractData",$Q$1&amp;"?"&amp;R38,"Symbol"),NA())</f>
        <v>ZSEK25</v>
      </c>
      <c r="R5" s="178">
        <f>RTD("cqg.rtd", ,"ContractData", Q5, $R$1,,"T")</f>
        <v>1051.25</v>
      </c>
      <c r="S5" s="178">
        <f>RTD("cqg.rtd", ,"ContractData", Q5,$S$1,,"T")</f>
        <v>1051.25</v>
      </c>
      <c r="T5" s="178">
        <f>RTD("cqg.rtd", ,"ContractData", Q5,$T$1,,"T")</f>
        <v>1051.75</v>
      </c>
      <c r="U5" s="175">
        <f>RTD("cqg.rtd", ,"ContractData", "F."&amp;$Q$1&amp;"?4",  $U$1,,"T")</f>
        <v>-5</v>
      </c>
      <c r="V5" s="172" t="str">
        <f>G2</f>
        <v>ZSES3K5</v>
      </c>
      <c r="W5" s="175">
        <f>RTD("cqg.rtd", ,"ContractData", V5, $W$1,,"T")</f>
        <v>6.25</v>
      </c>
      <c r="X5" s="175">
        <f>RTD("cqg.rtd", ,"ContractData", V5, $X$1,,"T")</f>
        <v>3.5</v>
      </c>
      <c r="Y5" s="175">
        <f>RTD("cqg.rtd", ,"ContractData",V5,$Y$1,,"T")</f>
        <v>6</v>
      </c>
      <c r="Z5" s="175">
        <f>RTD("cqg.rtd", ,"ContractData", V5,$Z$1,,"T")</f>
        <v>6.25</v>
      </c>
      <c r="AA5" s="175">
        <f t="shared" si="5"/>
        <v>6.25</v>
      </c>
      <c r="AB5" s="175">
        <f t="shared" si="0"/>
        <v>1051.25</v>
      </c>
      <c r="AC5" s="175">
        <f t="shared" si="11"/>
        <v>1051.25</v>
      </c>
      <c r="AD5" s="175">
        <f t="shared" si="6"/>
        <v>6.25</v>
      </c>
      <c r="AF5" s="171">
        <f t="shared" si="7"/>
        <v>1051.25</v>
      </c>
      <c r="AG5" s="171">
        <f t="shared" si="8"/>
        <v>6.25</v>
      </c>
      <c r="AH5" s="171">
        <f t="shared" si="9"/>
        <v>0</v>
      </c>
      <c r="AI5" s="171" t="str">
        <f>IFERROR(IF(LEFT(RTD("cqg.rtd",,"ContractData",V5,"LongDescription",,"T"),3)="768","",RIGHT(LEFT(RTD("cqg.rtd", ,"ContractData",V5, "LongDescription",, "T"),LEN(RTD("cqg.rtd", ,"ContractData",V5, "LongDescription",, "T"))-1),LEN(RTD("cqg.rtd", ,"ContractData",V5, "LongDescription",, "T"))-FIND(LEFT(V5,3),RTD("cqg.rtd", ,"ContractData",V5, "LongDescription",, "T"))+2)),"")</f>
        <v>1*ZSEK25-1*ZSEU25</v>
      </c>
      <c r="AJ5" s="171">
        <f>RTD("cqg.rtd", ,"ContractData",Q5, "Settlement",,"T")</f>
        <v>1056.75</v>
      </c>
      <c r="AK5" s="171">
        <f>RTD("cqg.rtd", ,"ContractData",V5, "Settlement",,"T")</f>
        <v>2.75</v>
      </c>
      <c r="AL5" s="171">
        <f t="shared" si="10"/>
        <v>1056.75</v>
      </c>
    </row>
    <row r="6" spans="1:38" x14ac:dyDescent="0.2">
      <c r="A6" s="170" t="str">
        <f t="shared" si="1"/>
        <v>ZSEN25</v>
      </c>
      <c r="B6" s="170" t="str">
        <f>RTD("cqg.rtd", ,"ContractData",A6, "ContractMonth")</f>
        <v>JUL</v>
      </c>
      <c r="C6" s="176" t="str">
        <f t="shared" si="2"/>
        <v>N5</v>
      </c>
      <c r="D6" s="171" t="str">
        <f t="shared" si="3"/>
        <v>ZSES3N5</v>
      </c>
      <c r="P6" s="172" t="str">
        <f t="shared" si="4"/>
        <v>2</v>
      </c>
      <c r="Q6" s="177" t="str">
        <f>IF(LEFT(RTD("cqg.rtd",,"ContractData",$Q$1&amp;"?"&amp;R39,"Symbol"),LEN($Q$1))=LEFT(RTD("cqg.rtd",,"ContractData",$Q$1&amp;"?"&amp;$R$35,"Symbol"),LEN($Q$1)),RTD("cqg.rtd",,"ContractData",$Q$1&amp;"?"&amp;R39,"Symbol"),NA())</f>
        <v>ZSEN25</v>
      </c>
      <c r="R6" s="178">
        <f>RTD("cqg.rtd", ,"ContractData", Q6, $R$1,,"T")</f>
        <v>1062.5</v>
      </c>
      <c r="S6" s="178">
        <f>RTD("cqg.rtd", ,"ContractData", Q6,$S$1,,"T")</f>
        <v>1062.25</v>
      </c>
      <c r="T6" s="178">
        <f>RTD("cqg.rtd", ,"ContractData", Q6,$T$1,,"T")</f>
        <v>1062.75</v>
      </c>
      <c r="U6" s="175">
        <f>RTD("cqg.rtd", ,"ContractData", "F."&amp;$Q$1&amp;"?5",  $U$1,,"T")</f>
        <v>-5.5</v>
      </c>
      <c r="V6" s="172" t="str">
        <f>H2</f>
        <v>ZSES3N5</v>
      </c>
      <c r="W6" s="175">
        <f>RTD("cqg.rtd", ,"ContractData", V6, $W$1,,"T")</f>
        <v>19.75</v>
      </c>
      <c r="X6" s="175">
        <f>RTD("cqg.rtd", ,"ContractData", V6, $X$1,,"T")</f>
        <v>4</v>
      </c>
      <c r="Y6" s="175">
        <f>RTD("cqg.rtd", ,"ContractData",V6,$Y$1,,"T")</f>
        <v>19.5</v>
      </c>
      <c r="Z6" s="175">
        <f>RTD("cqg.rtd", ,"ContractData", V6,$Z$1,,"T")</f>
        <v>19.75</v>
      </c>
      <c r="AA6" s="175">
        <f t="shared" si="5"/>
        <v>19.75</v>
      </c>
      <c r="AB6" s="175">
        <f t="shared" si="0"/>
        <v>1062.5</v>
      </c>
      <c r="AC6" s="175">
        <f t="shared" si="11"/>
        <v>1062.5</v>
      </c>
      <c r="AD6" s="175">
        <f t="shared" si="6"/>
        <v>19.75</v>
      </c>
      <c r="AF6" s="171">
        <f t="shared" si="7"/>
        <v>1062.5</v>
      </c>
      <c r="AG6" s="171">
        <f t="shared" si="8"/>
        <v>19.75</v>
      </c>
      <c r="AH6" s="171">
        <f t="shared" si="9"/>
        <v>0</v>
      </c>
      <c r="AI6" s="171" t="str">
        <f>IFERROR(IF(LEFT(RTD("cqg.rtd",,"ContractData",V6,"LongDescription",,"T"),3)="768","",RIGHT(LEFT(RTD("cqg.rtd", ,"ContractData",V6, "LongDescription",, "T"),LEN(RTD("cqg.rtd", ,"ContractData",V6, "LongDescription",, "T"))-1),LEN(RTD("cqg.rtd", ,"ContractData",V6, "LongDescription",, "T"))-FIND(LEFT(V6,3),RTD("cqg.rtd", ,"ContractData",V6, "LongDescription",, "T"))+2)),"")</f>
        <v>1*ZSEN25-1*ZSEX25</v>
      </c>
      <c r="AJ6" s="171">
        <f>RTD("cqg.rtd", ,"ContractData",Q6, "Settlement",,"T")</f>
        <v>1068.25</v>
      </c>
      <c r="AK6" s="171">
        <f>RTD("cqg.rtd", ,"ContractData",V6, "Settlement",,"T")</f>
        <v>15.75</v>
      </c>
      <c r="AL6" s="171">
        <f t="shared" si="10"/>
        <v>1068.25</v>
      </c>
    </row>
    <row r="7" spans="1:38" x14ac:dyDescent="0.2">
      <c r="A7" s="170" t="str">
        <f t="shared" si="1"/>
        <v>ZSEQ25</v>
      </c>
      <c r="B7" s="170" t="str">
        <f>RTD("cqg.rtd", ,"ContractData",A7, "ContractMonth")</f>
        <v>AUG</v>
      </c>
      <c r="C7" s="176" t="str">
        <f t="shared" si="2"/>
        <v>Q5</v>
      </c>
      <c r="D7" s="171" t="str">
        <f t="shared" si="3"/>
        <v>ZSES3Q5</v>
      </c>
      <c r="P7" s="172" t="str">
        <f t="shared" si="4"/>
        <v>2</v>
      </c>
      <c r="Q7" s="177" t="str">
        <f>IF(LEFT(RTD("cqg.rtd",,"ContractData",$Q$1&amp;"?"&amp;R40,"Symbol"),LEN($Q$1))=LEFT(RTD("cqg.rtd",,"ContractData",$Q$1&amp;"?"&amp;$R$35,"Symbol"),LEN($Q$1)),RTD("cqg.rtd",,"ContractData",$Q$1&amp;"?"&amp;R40,"Symbol"),NA())</f>
        <v>ZSEQ25</v>
      </c>
      <c r="R7" s="178">
        <f>RTD("cqg.rtd", ,"ContractData", Q7, $R$1,,"T")</f>
        <v>1060.5</v>
      </c>
      <c r="S7" s="178">
        <f>RTD("cqg.rtd", ,"ContractData", Q7,$S$1,,"T")</f>
        <v>1060</v>
      </c>
      <c r="T7" s="178">
        <f>RTD("cqg.rtd", ,"ContractData", Q7,$T$1,,"T")</f>
        <v>1060.5</v>
      </c>
      <c r="U7" s="175">
        <f>RTD("cqg.rtd", ,"ContractData", "F."&amp;$Q$1&amp;"?6", $U$1,,"T")</f>
        <v>-7.25</v>
      </c>
      <c r="V7" s="172" t="str">
        <f>I2</f>
        <v>ZSES3Q5</v>
      </c>
      <c r="W7" s="175" t="str">
        <f>RTD("cqg.rtd", ,"ContractData", V7, $W$1,,"T")</f>
        <v/>
      </c>
      <c r="X7" s="175">
        <f>RTD("cqg.rtd", ,"ContractData", V7, $X$1,,"T")</f>
        <v>2</v>
      </c>
      <c r="Y7" s="175">
        <f>RTD("cqg.rtd", ,"ContractData",V7,$Y$1,,"T")</f>
        <v>7.5</v>
      </c>
      <c r="Z7" s="175">
        <f>RTD("cqg.rtd", ,"ContractData", V7,$Z$1,,"T")</f>
        <v>9</v>
      </c>
      <c r="AA7" s="175">
        <f t="shared" si="5"/>
        <v>8.25</v>
      </c>
      <c r="AB7" s="175">
        <f t="shared" si="0"/>
        <v>1060.5</v>
      </c>
      <c r="AC7" s="175">
        <f t="shared" si="11"/>
        <v>1060.5</v>
      </c>
      <c r="AD7" s="175">
        <f t="shared" si="6"/>
        <v>8.25</v>
      </c>
      <c r="AF7" s="171">
        <f t="shared" si="7"/>
        <v>1060.5</v>
      </c>
      <c r="AG7" s="171">
        <f t="shared" si="8"/>
        <v>8.25</v>
      </c>
      <c r="AH7" s="171">
        <f t="shared" si="9"/>
        <v>0</v>
      </c>
      <c r="AI7" s="171" t="str">
        <f>IFERROR(IF(LEFT(RTD("cqg.rtd",,"ContractData",V7,"LongDescription",,"T"),3)="768","",RIGHT(LEFT(RTD("cqg.rtd", ,"ContractData",V7, "LongDescription",, "T"),LEN(RTD("cqg.rtd", ,"ContractData",V7, "LongDescription",, "T"))-1),LEN(RTD("cqg.rtd", ,"ContractData",V7, "LongDescription",, "T"))-FIND(LEFT(V7,3),RTD("cqg.rtd", ,"ContractData",V7, "LongDescription",, "T"))+2)),"")</f>
        <v>1*ZSEQ25-1*ZSEF26</v>
      </c>
      <c r="AJ7" s="171">
        <f>RTD("cqg.rtd", ,"ContractData",Q7, "Settlement",,"T")</f>
        <v>1067.25</v>
      </c>
      <c r="AK7" s="171">
        <f>RTD("cqg.rtd", ,"ContractData",V7, "Settlement",,"T")</f>
        <v>5.5</v>
      </c>
      <c r="AL7" s="171">
        <f t="shared" si="10"/>
        <v>1067.25</v>
      </c>
    </row>
    <row r="8" spans="1:38" x14ac:dyDescent="0.2">
      <c r="A8" s="170" t="str">
        <f t="shared" si="1"/>
        <v>ZSEU25</v>
      </c>
      <c r="B8" s="170" t="str">
        <f>RTD("cqg.rtd", ,"ContractData",A8, "ContractMonth")</f>
        <v>SEP</v>
      </c>
      <c r="C8" s="176" t="str">
        <f t="shared" si="2"/>
        <v>U5</v>
      </c>
      <c r="D8" s="171" t="str">
        <f t="shared" si="3"/>
        <v>ZSES3U5</v>
      </c>
      <c r="P8" s="172" t="str">
        <f t="shared" si="4"/>
        <v>2</v>
      </c>
      <c r="Q8" s="177" t="str">
        <f>IF(LEFT(RTD("cqg.rtd",,"ContractData",$Q$1&amp;"?"&amp;R41,"Symbol"),LEN($Q$1))=LEFT(RTD("cqg.rtd",,"ContractData",$Q$1&amp;"?"&amp;$R$35,"Symbol"),LEN($Q$1)),RTD("cqg.rtd",,"ContractData",$Q$1&amp;"?"&amp;R41,"Symbol"),NA())</f>
        <v>ZSEU25</v>
      </c>
      <c r="R8" s="178">
        <f>RTD("cqg.rtd", ,"ContractData", Q8, $R$1,,"T")</f>
        <v>1046</v>
      </c>
      <c r="S8" s="178">
        <f>RTD("cqg.rtd", ,"ContractData", Q8,$S$1,,"T")</f>
        <v>1045</v>
      </c>
      <c r="T8" s="178">
        <f>RTD("cqg.rtd", ,"ContractData", Q8,$T$1,,"T")</f>
        <v>1045.5</v>
      </c>
      <c r="U8" s="175">
        <f>RTD("cqg.rtd", ,"ContractData", "F."&amp;$Q$1&amp;"?7", $U$1,,"T")</f>
        <v>-9</v>
      </c>
      <c r="V8" s="172" t="str">
        <f>J2</f>
        <v>ZSES3U5</v>
      </c>
      <c r="W8" s="175" t="str">
        <f>RTD("cqg.rtd", ,"ContractData", V8, $W$1,,"T")</f>
        <v/>
      </c>
      <c r="X8" s="175">
        <f>RTD("cqg.rtd", ,"ContractData", V8, $X$1,,"T")</f>
        <v>0.5</v>
      </c>
      <c r="Y8" s="175">
        <f>RTD("cqg.rtd", ,"ContractData",V8,$Y$1,,"T")</f>
        <v>-7.25</v>
      </c>
      <c r="Z8" s="175">
        <f>RTD("cqg.rtd", ,"ContractData", V8,$Z$1,,"T")</f>
        <v>-5.75</v>
      </c>
      <c r="AA8" s="175">
        <f t="shared" si="5"/>
        <v>-6.5</v>
      </c>
      <c r="AB8" s="175">
        <f t="shared" si="0"/>
        <v>1045.25</v>
      </c>
      <c r="AC8" s="175">
        <f t="shared" si="11"/>
        <v>1045.25</v>
      </c>
      <c r="AD8" s="175">
        <f t="shared" si="6"/>
        <v>-6.5</v>
      </c>
      <c r="AF8" s="171">
        <f t="shared" si="7"/>
        <v>1045.25</v>
      </c>
      <c r="AG8" s="171">
        <f t="shared" si="8"/>
        <v>-6.5</v>
      </c>
      <c r="AH8" s="171">
        <f t="shared" si="9"/>
        <v>0</v>
      </c>
      <c r="AI8" s="171" t="str">
        <f>IFERROR(IF(LEFT(RTD("cqg.rtd",,"ContractData",V8,"LongDescription",,"T"),3)="768","",RIGHT(LEFT(RTD("cqg.rtd", ,"ContractData",V8, "LongDescription",, "T"),LEN(RTD("cqg.rtd", ,"ContractData",V8, "LongDescription",, "T"))-1),LEN(RTD("cqg.rtd", ,"ContractData",V8, "LongDescription",, "T"))-FIND(LEFT(V8,3),RTD("cqg.rtd", ,"ContractData",V8, "LongDescription",, "T"))+2)),"")</f>
        <v>1*ZSEU25-1*ZSEH26</v>
      </c>
      <c r="AJ8" s="171">
        <f>RTD("cqg.rtd", ,"ContractData",Q8, "Settlement",,"T")</f>
        <v>1054</v>
      </c>
      <c r="AK8" s="171">
        <f>RTD("cqg.rtd", ,"ContractData",V8, "Settlement",,"T")</f>
        <v>-7.75</v>
      </c>
      <c r="AL8" s="171">
        <f t="shared" si="10"/>
        <v>1054</v>
      </c>
    </row>
    <row r="9" spans="1:38" x14ac:dyDescent="0.2">
      <c r="A9" s="170" t="str">
        <f t="shared" si="1"/>
        <v>ZSEX25</v>
      </c>
      <c r="B9" s="170" t="str">
        <f>RTD("cqg.rtd", ,"ContractData",A9, "ContractMonth")</f>
        <v>NOV</v>
      </c>
      <c r="C9" s="176" t="str">
        <f t="shared" si="2"/>
        <v>X5</v>
      </c>
      <c r="D9" s="171" t="str">
        <f t="shared" si="3"/>
        <v>ZSES3X5</v>
      </c>
      <c r="P9" s="172" t="str">
        <f t="shared" si="4"/>
        <v>2</v>
      </c>
      <c r="Q9" s="177" t="str">
        <f>IF(LEFT(RTD("cqg.rtd",,"ContractData",$Q$1&amp;"?"&amp;R42,"Symbol"),LEN($Q$1))=LEFT(RTD("cqg.rtd",,"ContractData",$Q$1&amp;"?"&amp;$R$35,"Symbol"),LEN($Q$1)),RTD("cqg.rtd",,"ContractData",$Q$1&amp;"?"&amp;R42,"Symbol"),NA())</f>
        <v>ZSEX25</v>
      </c>
      <c r="R9" s="178">
        <f>RTD("cqg.rtd", ,"ContractData", Q9, $R$1,,"T")</f>
        <v>1043</v>
      </c>
      <c r="S9" s="178">
        <f>RTD("cqg.rtd", ,"ContractData", Q9,$S$1,,"T")</f>
        <v>1042.75</v>
      </c>
      <c r="T9" s="178">
        <f>RTD("cqg.rtd", ,"ContractData", Q9,$T$1,,"T")</f>
        <v>1043.25</v>
      </c>
      <c r="U9" s="175">
        <f>RTD("cqg.rtd", ,"ContractData", "F."&amp;$Q$1&amp;"?8", $U$1,,"T")</f>
        <v>-9.25</v>
      </c>
      <c r="V9" s="172" t="str">
        <f>K2</f>
        <v>ZSES3X5</v>
      </c>
      <c r="W9" s="175" t="str">
        <f>RTD("cqg.rtd", ,"ContractData", V9, $W$1,,"T")</f>
        <v/>
      </c>
      <c r="X9" s="175">
        <f>RTD("cqg.rtd", ,"ContractData", V9, $X$1,,"T")</f>
        <v>2.5</v>
      </c>
      <c r="Y9" s="175">
        <f>RTD("cqg.rtd", ,"ContractData",V9,$Y$1,,"T")</f>
        <v>-15.25</v>
      </c>
      <c r="Z9" s="175">
        <f>RTD("cqg.rtd", ,"ContractData", V9,$Z$1,,"T")</f>
        <v>-12.75</v>
      </c>
      <c r="AA9" s="175">
        <f t="shared" si="5"/>
        <v>-14</v>
      </c>
      <c r="AB9" s="175">
        <f t="shared" si="0"/>
        <v>1043</v>
      </c>
      <c r="AC9" s="175">
        <f t="shared" si="11"/>
        <v>1043</v>
      </c>
      <c r="AD9" s="175">
        <f t="shared" si="6"/>
        <v>-14</v>
      </c>
      <c r="AF9" s="171">
        <f t="shared" si="7"/>
        <v>1043</v>
      </c>
      <c r="AG9" s="171">
        <f t="shared" si="8"/>
        <v>-14</v>
      </c>
      <c r="AH9" s="171">
        <f t="shared" si="9"/>
        <v>0</v>
      </c>
      <c r="AI9" s="171" t="str">
        <f>IFERROR(IF(LEFT(RTD("cqg.rtd",,"ContractData",V9,"LongDescription",,"T"),3)="768","",RIGHT(LEFT(RTD("cqg.rtd", ,"ContractData",V9, "LongDescription",, "T"),LEN(RTD("cqg.rtd", ,"ContractData",V9, "LongDescription",, "T"))-1),LEN(RTD("cqg.rtd", ,"ContractData",V9, "LongDescription",, "T"))-FIND(LEFT(V9,3),RTD("cqg.rtd", ,"ContractData",V9, "LongDescription",, "T"))+2)),"")</f>
        <v>1*ZSEX25-1*ZSEK26</v>
      </c>
      <c r="AJ9" s="171">
        <f>RTD("cqg.rtd", ,"ContractData",Q9, "Settlement",,"T")</f>
        <v>1052.5</v>
      </c>
      <c r="AK9" s="171">
        <f>RTD("cqg.rtd", ,"ContractData",V9, "Settlement",,"T")</f>
        <v>-15.25</v>
      </c>
      <c r="AL9" s="171">
        <f t="shared" si="10"/>
        <v>1052.5</v>
      </c>
    </row>
    <row r="10" spans="1:38" x14ac:dyDescent="0.2">
      <c r="A10" s="170" t="str">
        <f t="shared" si="1"/>
        <v>ZSEF26</v>
      </c>
      <c r="B10" s="170" t="str">
        <f>RTD("cqg.rtd", ,"ContractData",A10, "ContractMonth")</f>
        <v>JAN</v>
      </c>
      <c r="C10" s="176" t="str">
        <f t="shared" si="2"/>
        <v>F6</v>
      </c>
      <c r="D10" s="171" t="str">
        <f t="shared" si="3"/>
        <v>ZSES3F6</v>
      </c>
      <c r="P10" s="172" t="str">
        <f t="shared" si="4"/>
        <v>2</v>
      </c>
      <c r="Q10" s="177" t="str">
        <f>IF(LEFT(RTD("cqg.rtd",,"ContractData",$Q$1&amp;"?"&amp;R43,"Symbol"),LEN($Q$1))=LEFT(RTD("cqg.rtd",,"ContractData",$Q$1&amp;"?"&amp;$R$35,"Symbol"),LEN($Q$1)),RTD("cqg.rtd",,"ContractData",$Q$1&amp;"?"&amp;R43,"Symbol"),NA())</f>
        <v>ZSEF26</v>
      </c>
      <c r="R10" s="178">
        <f>RTD("cqg.rtd", ,"ContractData", Q10, $R$1,,"T")</f>
        <v>1052.25</v>
      </c>
      <c r="S10" s="178">
        <f>RTD("cqg.rtd", ,"ContractData", Q10,$S$1,,"T")</f>
        <v>1051.75</v>
      </c>
      <c r="T10" s="178">
        <f>RTD("cqg.rtd", ,"ContractData", Q10,$T$1,,"T")</f>
        <v>1052.5</v>
      </c>
      <c r="U10" s="175">
        <f>RTD("cqg.rtd", ,"ContractData", "F."&amp;$Q$1&amp;"?9", $U$1,,"T")</f>
        <v>-9.25</v>
      </c>
      <c r="V10" s="172" t="str">
        <f>L2</f>
        <v>ZSES3F6</v>
      </c>
      <c r="W10" s="175" t="str">
        <f>RTD("cqg.rtd", ,"ContractData", V10, $W$1,,"T")</f>
        <v/>
      </c>
      <c r="X10" s="175">
        <f>RTD("cqg.rtd", ,"ContractData", V10, $X$1,,"T")</f>
        <v>3</v>
      </c>
      <c r="Y10" s="175">
        <f>RTD("cqg.rtd", ,"ContractData",V10,$Y$1,,"T")</f>
        <v>-13.75</v>
      </c>
      <c r="Z10" s="175">
        <f>RTD("cqg.rtd", ,"ContractData", V10,$Z$1,,"T")</f>
        <v>-11</v>
      </c>
      <c r="AA10" s="175">
        <f t="shared" si="5"/>
        <v>-12.375</v>
      </c>
      <c r="AB10" s="175">
        <f t="shared" si="0"/>
        <v>1052.25</v>
      </c>
      <c r="AC10" s="175">
        <f t="shared" si="11"/>
        <v>1052.25</v>
      </c>
      <c r="AD10" s="175">
        <f t="shared" si="6"/>
        <v>-12.375</v>
      </c>
      <c r="AF10" s="171">
        <f t="shared" si="7"/>
        <v>1052.25</v>
      </c>
      <c r="AG10" s="171">
        <f t="shared" si="8"/>
        <v>-12.38</v>
      </c>
      <c r="AH10" s="171">
        <f t="shared" si="9"/>
        <v>0</v>
      </c>
      <c r="AI10" s="171" t="str">
        <f>IFERROR(IF(LEFT(RTD("cqg.rtd",,"ContractData",V10,"LongDescription",,"T"),3)="768","",RIGHT(LEFT(RTD("cqg.rtd", ,"ContractData",V10, "LongDescription",, "T"),LEN(RTD("cqg.rtd", ,"ContractData",V10, "LongDescription",, "T"))-1),LEN(RTD("cqg.rtd", ,"ContractData",V10, "LongDescription",, "T"))-FIND(LEFT(V10,3),RTD("cqg.rtd", ,"ContractData",V10, "LongDescription",, "T"))+2)),"")</f>
        <v>1*ZSEF26-1*ZSEN26</v>
      </c>
      <c r="AJ10" s="171">
        <f>RTD("cqg.rtd", ,"ContractData",Q10, "Settlement",,"T")</f>
        <v>1061.75</v>
      </c>
      <c r="AK10" s="171">
        <f>RTD("cqg.rtd", ,"ContractData",V10, "Settlement",,"T")</f>
        <v>-14</v>
      </c>
      <c r="AL10" s="171">
        <f t="shared" si="10"/>
        <v>1061.75</v>
      </c>
    </row>
    <row r="11" spans="1:38" x14ac:dyDescent="0.2">
      <c r="A11" s="170" t="str">
        <f t="shared" si="1"/>
        <v>ZSEH26</v>
      </c>
      <c r="B11" s="170" t="str">
        <f>RTD("cqg.rtd", ,"ContractData",A11, "ContractMonth")</f>
        <v>MAR</v>
      </c>
      <c r="C11" s="176" t="str">
        <f t="shared" si="2"/>
        <v>H6</v>
      </c>
      <c r="D11" s="171" t="str">
        <f t="shared" si="3"/>
        <v>ZSES3H6</v>
      </c>
      <c r="P11" s="172" t="str">
        <f t="shared" si="4"/>
        <v>2</v>
      </c>
      <c r="Q11" s="177" t="str">
        <f>IF(LEFT(RTD("cqg.rtd",,"ContractData",$Q$1&amp;"?"&amp;R44,"Symbol"),LEN($Q$1))=LEFT(RTD("cqg.rtd",,"ContractData",$Q$1&amp;"?"&amp;$R$35,"Symbol"),LEN($Q$1)),RTD("cqg.rtd",,"ContractData",$Q$1&amp;"?"&amp;R44,"Symbol"),NA())</f>
        <v>ZSEH26</v>
      </c>
      <c r="R11" s="178">
        <f>RTD("cqg.rtd", ,"ContractData", Q11, $R$1,,"T")</f>
        <v>1051.75</v>
      </c>
      <c r="S11" s="178">
        <f>RTD("cqg.rtd", ,"ContractData", Q11,$S$1,,"T")</f>
        <v>1051.25</v>
      </c>
      <c r="T11" s="178">
        <f>RTD("cqg.rtd", ,"ContractData", Q11,$T$1,,"T")</f>
        <v>1052.25</v>
      </c>
      <c r="U11" s="175">
        <f>RTD("cqg.rtd", ,"ContractData", "F."&amp;$Q$1&amp;"?10", $U$1,,"T")</f>
        <v>-9.5</v>
      </c>
      <c r="V11" s="172" t="str">
        <f>M2</f>
        <v>ZSES3H6</v>
      </c>
      <c r="W11" s="175" t="str">
        <f>RTD("cqg.rtd", ,"ContractData", V11, $W$1,,"T")</f>
        <v/>
      </c>
      <c r="X11" s="175" t="str">
        <f>RTD("cqg.rtd", ,"ContractData", V11, $X$1,,"T")</f>
        <v/>
      </c>
      <c r="Y11" s="175" t="str">
        <f>RTD("cqg.rtd", ,"ContractData",V11,$Y$1,,"T")</f>
        <v/>
      </c>
      <c r="Z11" s="175" t="str">
        <f>RTD("cqg.rtd", ,"ContractData", V11,$Z$1,,"T")</f>
        <v/>
      </c>
      <c r="AA11" s="175" t="e">
        <f t="shared" si="5"/>
        <v>#VALUE!</v>
      </c>
      <c r="AB11" s="175">
        <f t="shared" si="0"/>
        <v>1051.75</v>
      </c>
      <c r="AC11" s="175">
        <f t="shared" si="11"/>
        <v>1051.75</v>
      </c>
      <c r="AD11" s="175" t="str">
        <f t="shared" si="6"/>
        <v/>
      </c>
      <c r="AF11" s="171">
        <f t="shared" si="7"/>
        <v>1051.75</v>
      </c>
      <c r="AG11" s="171" t="e">
        <f t="shared" si="8"/>
        <v>#N/A</v>
      </c>
      <c r="AH11" s="171">
        <f t="shared" si="9"/>
        <v>0</v>
      </c>
      <c r="AI11" s="171" t="str">
        <f>IFERROR(IF(LEFT(RTD("cqg.rtd",,"ContractData",V11,"LongDescription",,"T"),3)="768","",RIGHT(LEFT(RTD("cqg.rtd", ,"ContractData",V11, "LongDescription",, "T"),LEN(RTD("cqg.rtd", ,"ContractData",V11, "LongDescription",, "T"))-1),LEN(RTD("cqg.rtd", ,"ContractData",V11, "LongDescription",, "T"))-FIND(LEFT(V11,3),RTD("cqg.rtd", ,"ContractData",V11, "LongDescription",, "T"))+2)),"")</f>
        <v>1*ZSEH26-1*ZSEQ26</v>
      </c>
      <c r="AJ11" s="171">
        <f>RTD("cqg.rtd", ,"ContractData",Q11, "Settlement",,"T")</f>
        <v>1061.75</v>
      </c>
      <c r="AK11" s="171">
        <f>RTD("cqg.rtd", ,"ContractData",V11, "Settlement",,"T")</f>
        <v>-10.5</v>
      </c>
      <c r="AL11" s="171">
        <f t="shared" si="10"/>
        <v>1061.75</v>
      </c>
    </row>
    <row r="12" spans="1:38" x14ac:dyDescent="0.2">
      <c r="A12" s="170" t="str">
        <f t="shared" si="1"/>
        <v>ZSEK26</v>
      </c>
      <c r="B12" s="170" t="str">
        <f>RTD("cqg.rtd", ,"ContractData",A12, "ContractMonth")</f>
        <v>MAY</v>
      </c>
      <c r="C12" s="176" t="str">
        <f t="shared" si="2"/>
        <v>K6</v>
      </c>
      <c r="D12" s="171" t="str">
        <f t="shared" si="3"/>
        <v>ZSES3K6</v>
      </c>
      <c r="P12" s="172" t="str">
        <f t="shared" si="4"/>
        <v>2</v>
      </c>
      <c r="Q12" s="177" t="str">
        <f>IF(LEFT(RTD("cqg.rtd",,"ContractData",$Q$1&amp;"?"&amp;R45,"Symbol"),LEN($Q$1))=LEFT(RTD("cqg.rtd",,"ContractData",$Q$1&amp;"?"&amp;$R$35,"Symbol"),LEN($Q$1)),RTD("cqg.rtd",,"ContractData",$Q$1&amp;"?"&amp;R45,"Symbol"),NA())</f>
        <v>ZSEK26</v>
      </c>
      <c r="R12" s="178">
        <f>RTD("cqg.rtd", ,"ContractData", Q12, $R$1,,"T")</f>
        <v>1064</v>
      </c>
      <c r="S12" s="178">
        <f>RTD("cqg.rtd", ,"ContractData", Q12,$S$1,,"T")</f>
        <v>1056.25</v>
      </c>
      <c r="T12" s="178">
        <f>RTD("cqg.rtd", ,"ContractData", Q12,$T$1,,"T")</f>
        <v>1057.75</v>
      </c>
      <c r="U12" s="175">
        <f>RTD("cqg.rtd", ,"ContractData", "F."&amp;$Q$1&amp;"?11",$U$1,,"T")</f>
        <v>-10</v>
      </c>
      <c r="V12" s="172" t="str">
        <f>N2</f>
        <v>ZSES3K6</v>
      </c>
      <c r="W12" s="175" t="str">
        <f>RTD("cqg.rtd", ,"ContractData", V12, $W$1,,"T")</f>
        <v/>
      </c>
      <c r="X12" s="175">
        <f>RTD("cqg.rtd", ,"ContractData", V12, $X$1,,"T")</f>
        <v>28.75</v>
      </c>
      <c r="Y12" s="175" t="str">
        <f>RTD("cqg.rtd", ,"ContractData",V12,$Y$1,,"T")</f>
        <v/>
      </c>
      <c r="Z12" s="175">
        <f>RTD("cqg.rtd", ,"ContractData", V12,$Z$1,,"T")</f>
        <v>37</v>
      </c>
      <c r="AA12" s="175" t="e">
        <f t="shared" si="5"/>
        <v>#VALUE!</v>
      </c>
      <c r="AB12" s="175">
        <f t="shared" si="0"/>
        <v>1057</v>
      </c>
      <c r="AC12" s="175">
        <f t="shared" si="11"/>
        <v>1057</v>
      </c>
      <c r="AD12" s="175" t="str">
        <f t="shared" si="6"/>
        <v/>
      </c>
      <c r="AF12" s="171">
        <f t="shared" si="7"/>
        <v>1057</v>
      </c>
      <c r="AG12" s="171" t="e">
        <f t="shared" si="8"/>
        <v>#N/A</v>
      </c>
      <c r="AH12" s="171">
        <f t="shared" si="9"/>
        <v>0</v>
      </c>
      <c r="AI12" s="171" t="str">
        <f>IFERROR(IF(LEFT(RTD("cqg.rtd",,"ContractData",V12,"LongDescription",,"T"),3)="768","",RIGHT(LEFT(RTD("cqg.rtd", ,"ContractData",V12, "LongDescription",, "T"),LEN(RTD("cqg.rtd", ,"ContractData",V12, "LongDescription",, "T"))-1),LEN(RTD("cqg.rtd", ,"ContractData",V12, "LongDescription",, "T"))-FIND(LEFT(V12,3),RTD("cqg.rtd", ,"ContractData",V12, "LongDescription",, "T"))+2)),"")</f>
        <v>1*ZSEK26-1*ZSEU26</v>
      </c>
      <c r="AJ12" s="171">
        <f>RTD("cqg.rtd", ,"ContractData",Q12, "Settlement",,"T")</f>
        <v>1067.75</v>
      </c>
      <c r="AK12" s="171">
        <f>RTD("cqg.rtd", ,"ContractData",V12, "Settlement",,"T")</f>
        <v>8.25</v>
      </c>
      <c r="AL12" s="171">
        <f t="shared" si="10"/>
        <v>1067.75</v>
      </c>
    </row>
    <row r="13" spans="1:38" x14ac:dyDescent="0.2">
      <c r="A13" s="170" t="str">
        <f t="shared" si="1"/>
        <v>ZSEN26</v>
      </c>
      <c r="B13" s="170" t="str">
        <f>RTD("cqg.rtd", ,"ContractData",A13, "ContractMonth")</f>
        <v>JUL</v>
      </c>
      <c r="C13" s="176" t="str">
        <f t="shared" si="2"/>
        <v>N6</v>
      </c>
      <c r="D13" s="171" t="str">
        <f t="shared" si="3"/>
        <v>ZSES3N6</v>
      </c>
      <c r="P13" s="172" t="str">
        <f t="shared" si="4"/>
        <v>2</v>
      </c>
      <c r="Q13" s="177" t="str">
        <f>IF(LEFT(RTD("cqg.rtd",,"ContractData",$Q$1&amp;"?"&amp;R46,"Symbol"),LEN($Q$1))=LEFT(RTD("cqg.rtd",,"ContractData",$Q$1&amp;"?"&amp;$R$35,"Symbol"),LEN($Q$1)),RTD("cqg.rtd",,"ContractData",$Q$1&amp;"?"&amp;R46,"Symbol"),NA())</f>
        <v>ZSEN26</v>
      </c>
      <c r="R13" s="178">
        <f>RTD("cqg.rtd", ,"ContractData", Q13, $R$1,,"T")</f>
        <v>1065.75</v>
      </c>
      <c r="S13" s="178">
        <f>RTD("cqg.rtd", ,"ContractData", Q13,$S$1,,"T")</f>
        <v>1063.5</v>
      </c>
      <c r="T13" s="178">
        <f>RTD("cqg.rtd", ,"ContractData", Q13,$T$1,,"T")</f>
        <v>1065.5</v>
      </c>
      <c r="U13" s="175">
        <f>RTD("cqg.rtd", ,"ContractData", "F."&amp;$Q$1&amp;"?12",$U$1,,"T")</f>
        <v>-12.25</v>
      </c>
      <c r="V13" s="172" t="str">
        <f>O2</f>
        <v>ZSES3N6</v>
      </c>
      <c r="W13" s="175">
        <f>RTD("cqg.rtd", ,"ContractData", V13, $W$1,,"T")</f>
        <v>15</v>
      </c>
      <c r="X13" s="175">
        <f>RTD("cqg.rtd", ,"ContractData", V13, $X$1,,"T")</f>
        <v>0</v>
      </c>
      <c r="Y13" s="175">
        <f>RTD("cqg.rtd", ,"ContractData",V13,$Y$1,,"T")</f>
        <v>14.5</v>
      </c>
      <c r="Z13" s="175">
        <f>RTD("cqg.rtd", ,"ContractData", V13,$Z$1,,"T")</f>
        <v>15</v>
      </c>
      <c r="AA13" s="175">
        <f t="shared" si="5"/>
        <v>15</v>
      </c>
      <c r="AB13" s="175">
        <f t="shared" si="0"/>
        <v>1064.5</v>
      </c>
      <c r="AC13" s="175">
        <f t="shared" si="11"/>
        <v>1064.5</v>
      </c>
      <c r="AD13" s="175">
        <f t="shared" si="6"/>
        <v>15</v>
      </c>
      <c r="AF13" s="171">
        <f t="shared" si="7"/>
        <v>1064.5</v>
      </c>
      <c r="AG13" s="171">
        <f t="shared" si="8"/>
        <v>15</v>
      </c>
      <c r="AH13" s="171">
        <f t="shared" si="9"/>
        <v>0</v>
      </c>
      <c r="AI13" s="171" t="str">
        <f>IFERROR(IF(LEFT(RTD("cqg.rtd",,"ContractData",V13,"LongDescription",,"T"),3)="768","",RIGHT(LEFT(RTD("cqg.rtd", ,"ContractData",V13, "LongDescription",, "T"),LEN(RTD("cqg.rtd", ,"ContractData",V13, "LongDescription",, "T"))-1),LEN(RTD("cqg.rtd", ,"ContractData",V13, "LongDescription",, "T"))-FIND(LEFT(V13,3),RTD("cqg.rtd", ,"ContractData",V13, "LongDescription",, "T"))+2)),"")</f>
        <v>1*ZSEN26-1*ZSEX26</v>
      </c>
      <c r="AJ13" s="171">
        <f>RTD("cqg.rtd", ,"ContractData",Q13, "Settlement",,"T")</f>
        <v>1075.75</v>
      </c>
      <c r="AK13" s="171">
        <f>RTD("cqg.rtd", ,"ContractData",V13, "Settlement",,"T")</f>
        <v>15</v>
      </c>
      <c r="AL13" s="171">
        <f t="shared" si="10"/>
        <v>1075.75</v>
      </c>
    </row>
    <row r="14" spans="1:38" x14ac:dyDescent="0.2"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</row>
    <row r="15" spans="1:38" x14ac:dyDescent="0.2">
      <c r="E15" s="171" t="b">
        <v>0</v>
      </c>
      <c r="F15" s="171" t="s">
        <v>33</v>
      </c>
      <c r="G15" s="171" t="s">
        <v>34</v>
      </c>
      <c r="P15" s="172"/>
      <c r="Q15" s="172"/>
      <c r="R15" s="172"/>
      <c r="S15" s="172"/>
      <c r="T15" s="172"/>
      <c r="U15" s="172"/>
    </row>
    <row r="16" spans="1:38" x14ac:dyDescent="0.2">
      <c r="A16" s="171">
        <f>Main!K4</f>
        <v>10</v>
      </c>
      <c r="B16" s="171">
        <f>Main!L4</f>
        <v>15</v>
      </c>
      <c r="C16" s="171">
        <f>Main!M4</f>
        <v>2024</v>
      </c>
      <c r="D16" s="171" t="str">
        <f>Main!M5</f>
        <v>D</v>
      </c>
      <c r="E16" s="171">
        <f xml:space="preserve"> TEXT(RTD("cqg.rtd",,"StudyData", "Close("&amp;$I16&amp;")when (LocalMonth("&amp;$I16&amp;")="&amp;$A$16&amp;" and LocalDay("&amp;$I16&amp;")="&amp;$B$16&amp;" and LocalYear("&amp;$Q2&amp;")="&amp;$C$16&amp;")", "Bar", "", "Close",$D$16, "0","ALL","", "",$E$15,$F$15),$E$29)*1</f>
        <v>991</v>
      </c>
      <c r="G16" s="179">
        <f>IFERROR(AF2-E16,"")</f>
        <v>24.25</v>
      </c>
      <c r="I16" s="171" t="str">
        <f>$Q$1&amp;"?"&amp;R35</f>
        <v>ZSE?1</v>
      </c>
      <c r="J16" s="171" t="str">
        <f>$Q$1&amp;"S3??"&amp;R35</f>
        <v>ZSES3??1</v>
      </c>
      <c r="K16" s="171">
        <f>IF(LEFT(M16,3)="768",NA(),RTD("cqg.rtd",,"StudyData", "Close("&amp;$J16&amp;")when (LocalMonth("&amp;$J16&amp;")="&amp;$A$16&amp;" and LocalDay("&amp;$J16&amp;")="&amp;$B$16&amp;" and LocalYear("&amp;$J16&amp;")="&amp;$C$16&amp;")", "Bar", "", "Close",$D$16, "0","ALL","", "",$E$15,$F$15))</f>
        <v>-39.5</v>
      </c>
      <c r="L16" s="171">
        <f>TEXT(IFERROR(AG2-K16,""),$E$29)*1</f>
        <v>1.37</v>
      </c>
      <c r="M16" s="171" t="str">
        <f>RTD("cqg.rtd", ,"ContractData", J16,"Symbol",,"T")</f>
        <v>ZSES3X24</v>
      </c>
    </row>
    <row r="17" spans="5:29" x14ac:dyDescent="0.2">
      <c r="E17" s="171">
        <f xml:space="preserve"> TEXT(RTD("cqg.rtd",,"StudyData", "Close("&amp;$I17&amp;")when (LocalMonth("&amp;$I17&amp;")="&amp;$A$16&amp;" and LocalDay("&amp;$I17&amp;")="&amp;$B$16&amp;" and LocalYear("&amp;$Q3&amp;")="&amp;$C$16&amp;")", "Bar", "", "Close",$D$16, "0","ALL","", "",$E$15,$F$15),$E$29)*1</f>
        <v>1003.5</v>
      </c>
      <c r="G17" s="179">
        <f t="shared" ref="G17:G27" si="12">IFERROR(AF3-E17,"")</f>
        <v>23.75</v>
      </c>
      <c r="I17" s="171" t="str">
        <f t="shared" ref="I17:I27" si="13">$Q$1&amp;"?"&amp;R36</f>
        <v>ZSE?2</v>
      </c>
      <c r="J17" s="171" t="str">
        <f t="shared" ref="J17:J27" si="14">$Q$1&amp;"S3??"&amp;R36</f>
        <v>ZSES3??2</v>
      </c>
      <c r="K17" s="171">
        <f>IF(LEFT(M17,3)="768",NA(),RTD("cqg.rtd",,"StudyData", "Close("&amp;$J17&amp;")when (LocalMonth("&amp;$J17&amp;")="&amp;$A$16&amp;" and LocalDay("&amp;$J17&amp;")="&amp;$B$16&amp;" and LocalYear("&amp;$J17&amp;")="&amp;$C$16&amp;")", "Bar", "", "Close",$D$16, "0","ALL","", "",$E$15,$F$15))</f>
        <v>-37.75</v>
      </c>
      <c r="L17" s="171">
        <f t="shared" ref="L17:L27" si="15">TEXT(IFERROR(AG3-K17,""),$E$29)*1</f>
        <v>2.5</v>
      </c>
      <c r="M17" s="171" t="str">
        <f>RTD("cqg.rtd", ,"ContractData", J17,"Symbol",,"T")</f>
        <v>ZSES3F25</v>
      </c>
      <c r="AB17" s="179"/>
      <c r="AC17" s="179"/>
    </row>
    <row r="18" spans="5:29" x14ac:dyDescent="0.2">
      <c r="E18" s="171">
        <f xml:space="preserve"> TEXT(RTD("cqg.rtd",,"StudyData", "Close("&amp;$I18&amp;")when (LocalMonth("&amp;$I18&amp;")="&amp;$A$16&amp;" and LocalDay("&amp;$I18&amp;")="&amp;$B$16&amp;" and LocalYear("&amp;$Q4&amp;")="&amp;$C$16&amp;")", "Bar", "", "Close",$D$16, "0","ALL","", "",$E$15,$F$15),$E$29)*1</f>
        <v>1016.75</v>
      </c>
      <c r="G18" s="179">
        <f t="shared" si="12"/>
        <v>22.25</v>
      </c>
      <c r="I18" s="171" t="str">
        <f t="shared" si="13"/>
        <v>ZSE?3</v>
      </c>
      <c r="J18" s="171" t="str">
        <f t="shared" si="14"/>
        <v>ZSES3??3</v>
      </c>
      <c r="K18" s="171">
        <f>IF(LEFT(M18,3)="768",NA(),RTD("cqg.rtd",,"StudyData", "Close("&amp;$J18&amp;")when (LocalMonth("&amp;$J18&amp;")="&amp;$A$16&amp;" and LocalDay("&amp;$J18&amp;")="&amp;$B$16&amp;" and LocalYear("&amp;$J18&amp;")="&amp;$C$16&amp;")", "Bar", "", "Close",$D$16, "0","ALL","", "",$E$15,$F$15))</f>
        <v>-24.75</v>
      </c>
      <c r="L18" s="171">
        <f t="shared" si="15"/>
        <v>3.5</v>
      </c>
      <c r="M18" s="171" t="str">
        <f>RTD("cqg.rtd", ,"ContractData", J18,"Symbol",,"T")</f>
        <v>ZSES3H25</v>
      </c>
      <c r="AB18" s="179"/>
      <c r="AC18" s="179"/>
    </row>
    <row r="19" spans="5:29" x14ac:dyDescent="0.2">
      <c r="E19" s="171">
        <f xml:space="preserve"> TEXT(RTD("cqg.rtd",,"StudyData", "Close("&amp;$I19&amp;")when (LocalMonth("&amp;$I19&amp;")="&amp;$A$16&amp;" and LocalDay("&amp;$I19&amp;")="&amp;$B$16&amp;" and LocalYear("&amp;$Q5&amp;")="&amp;$C$16&amp;")", "Bar", "", "Close",$D$16, "0","ALL","", "",$E$15,$F$15),$E$29)*1</f>
        <v>1030.5</v>
      </c>
      <c r="G19" s="179">
        <f t="shared" si="12"/>
        <v>20.75</v>
      </c>
      <c r="I19" s="171" t="str">
        <f t="shared" si="13"/>
        <v>ZSE?4</v>
      </c>
      <c r="J19" s="171" t="str">
        <f t="shared" si="14"/>
        <v>ZSES3??4</v>
      </c>
      <c r="K19" s="171">
        <f>IF(LEFT(M19,3)="768",NA(),RTD("cqg.rtd",,"StudyData", "Close("&amp;$J19&amp;")when (LocalMonth("&amp;$J19&amp;")="&amp;$A$16&amp;" and LocalDay("&amp;$J19&amp;")="&amp;$B$16&amp;" and LocalYear("&amp;$J19&amp;")="&amp;$C$16&amp;")", "Bar", "", "Close",$D$16, "0","ALL","", "",$E$15,$F$15))</f>
        <v>-2.75</v>
      </c>
      <c r="L19" s="171">
        <f t="shared" si="15"/>
        <v>9</v>
      </c>
      <c r="M19" s="171" t="str">
        <f>RTD("cqg.rtd", ,"ContractData", J19,"Symbol",,"T")</f>
        <v>ZSES3K25</v>
      </c>
      <c r="AB19" s="179"/>
      <c r="AC19" s="179"/>
    </row>
    <row r="20" spans="5:29" x14ac:dyDescent="0.2">
      <c r="E20" s="171">
        <f xml:space="preserve"> TEXT(RTD("cqg.rtd",,"StudyData", "Close("&amp;$I20&amp;")when (LocalMonth("&amp;$I20&amp;")="&amp;$A$16&amp;" and LocalDay("&amp;$I20&amp;")="&amp;$B$16&amp;" and LocalYear("&amp;$Q6&amp;")="&amp;$C$16&amp;")", "Bar", "", "Close",$D$16, "0","ALL","", "",$E$15,$F$15),$E$29)*1</f>
        <v>1041.25</v>
      </c>
      <c r="G20" s="179">
        <f t="shared" si="12"/>
        <v>21.25</v>
      </c>
      <c r="I20" s="171" t="str">
        <f t="shared" si="13"/>
        <v>ZSE?5</v>
      </c>
      <c r="J20" s="171" t="str">
        <f t="shared" si="14"/>
        <v>ZSES3??5</v>
      </c>
      <c r="K20" s="171">
        <f>IF(LEFT(M20,3)="768",NA(),RTD("cqg.rtd",,"StudyData", "Close("&amp;$J20&amp;")when (LocalMonth("&amp;$J20&amp;")="&amp;$A$16&amp;" and LocalDay("&amp;$J20&amp;")="&amp;$B$16&amp;" and LocalYear("&amp;$J20&amp;")="&amp;$C$16&amp;")", "Bar", "", "Close",$D$16, "0","ALL","", "",$E$15,$F$15))</f>
        <v>5.5</v>
      </c>
      <c r="L20" s="171">
        <f t="shared" si="15"/>
        <v>14.25</v>
      </c>
      <c r="M20" s="171" t="str">
        <f>RTD("cqg.rtd", ,"ContractData", J20,"Symbol",,"T")</f>
        <v>ZSES3N25</v>
      </c>
      <c r="U20" s="180"/>
      <c r="V20" s="180"/>
      <c r="AB20" s="179"/>
      <c r="AC20" s="179"/>
    </row>
    <row r="21" spans="5:29" x14ac:dyDescent="0.2">
      <c r="E21" s="171">
        <f xml:space="preserve"> TEXT(RTD("cqg.rtd",,"StudyData", "Close("&amp;$I21&amp;")when (LocalMonth("&amp;$I21&amp;")="&amp;$A$16&amp;" and LocalDay("&amp;$I21&amp;")="&amp;$B$16&amp;" and LocalYear("&amp;$Q7&amp;")="&amp;$C$16&amp;")", "Bar", "", "Close",$D$16, "0","ALL","", "",$E$15,$F$15),$E$29)*1</f>
        <v>1041.5</v>
      </c>
      <c r="G21" s="179">
        <f t="shared" si="12"/>
        <v>19</v>
      </c>
      <c r="I21" s="171" t="str">
        <f t="shared" si="13"/>
        <v>ZSE?6</v>
      </c>
      <c r="J21" s="171" t="str">
        <f t="shared" si="14"/>
        <v>ZSES3??6</v>
      </c>
      <c r="K21" s="171">
        <f>IF(LEFT(M21,3)="768",NA(),RTD("cqg.rtd",,"StudyData", "Close("&amp;$J21&amp;")when (LocalMonth("&amp;$J21&amp;")="&amp;$A$16&amp;" and LocalDay("&amp;$J21&amp;")="&amp;$B$16&amp;" and LocalYear("&amp;$J21&amp;")="&amp;$C$16&amp;")", "Bar", "", "Close",$D$16, "0","ALL","", "",$E$15,$F$15))</f>
        <v>-5.75</v>
      </c>
      <c r="L21" s="171">
        <f t="shared" si="15"/>
        <v>14</v>
      </c>
      <c r="M21" s="171" t="str">
        <f>RTD("cqg.rtd", ,"ContractData", J21,"Symbol",,"T")</f>
        <v>ZSES3Q25</v>
      </c>
      <c r="T21" s="179"/>
      <c r="U21" s="179"/>
      <c r="V21" s="179"/>
      <c r="X21" s="179"/>
      <c r="Y21" s="179"/>
      <c r="Z21" s="179"/>
      <c r="AB21" s="179"/>
      <c r="AC21" s="179"/>
    </row>
    <row r="22" spans="5:29" x14ac:dyDescent="0.2">
      <c r="E22" s="171">
        <f xml:space="preserve"> TEXT(RTD("cqg.rtd",,"StudyData", "Close("&amp;$I22&amp;")when (LocalMonth("&amp;$I22&amp;")="&amp;$A$16&amp;" and LocalDay("&amp;$I22&amp;")="&amp;$B$16&amp;" and LocalYear("&amp;$Q8&amp;")="&amp;$C$16&amp;")", "Bar", "", "Close",$D$16, "0","ALL","", "",$E$15,$F$15),$E$29)*1</f>
        <v>1033.25</v>
      </c>
      <c r="G22" s="179">
        <f t="shared" si="12"/>
        <v>12</v>
      </c>
      <c r="I22" s="171" t="str">
        <f t="shared" si="13"/>
        <v>ZSE?7</v>
      </c>
      <c r="J22" s="171" t="str">
        <f t="shared" si="14"/>
        <v>ZSES3??7</v>
      </c>
      <c r="K22" s="171">
        <f>IF(LEFT(M22,3)="768",NA(),RTD("cqg.rtd",,"StudyData", "Close("&amp;$J22&amp;")when (LocalMonth("&amp;$J22&amp;")="&amp;$A$16&amp;" and LocalDay("&amp;$J22&amp;")="&amp;$B$16&amp;" and LocalYear("&amp;$J22&amp;")="&amp;$C$16&amp;")", "Bar", "", "Close",$D$16, "0","ALL","", "",$E$15,$F$15))</f>
        <v>-17.5</v>
      </c>
      <c r="L22" s="171">
        <f t="shared" si="15"/>
        <v>11</v>
      </c>
      <c r="M22" s="171" t="str">
        <f>RTD("cqg.rtd", ,"ContractData", J22,"Symbol",,"T")</f>
        <v>ZSES3U25</v>
      </c>
      <c r="T22" s="179"/>
      <c r="U22" s="179"/>
      <c r="V22" s="179"/>
      <c r="X22" s="179"/>
      <c r="Y22" s="179"/>
      <c r="Z22" s="179"/>
      <c r="AB22" s="179"/>
      <c r="AC22" s="179"/>
    </row>
    <row r="23" spans="5:29" x14ac:dyDescent="0.2">
      <c r="E23" s="171">
        <f xml:space="preserve"> TEXT(RTD("cqg.rtd",,"StudyData", "Close("&amp;$I23&amp;")when (LocalMonth("&amp;$I23&amp;")="&amp;$A$16&amp;" and LocalDay("&amp;$I23&amp;")="&amp;$B$16&amp;" and LocalYear("&amp;$Q9&amp;")="&amp;$C$16&amp;")", "Bar", "", "Close",$D$16, "0","ALL","", "",$E$15,$F$15),$E$29)*1</f>
        <v>1035.75</v>
      </c>
      <c r="G23" s="179">
        <f t="shared" si="12"/>
        <v>7.25</v>
      </c>
      <c r="I23" s="171" t="str">
        <f t="shared" si="13"/>
        <v>ZSE?8</v>
      </c>
      <c r="J23" s="171" t="str">
        <f t="shared" si="14"/>
        <v>ZSES3??8</v>
      </c>
      <c r="K23" s="171">
        <f>IF(LEFT(M23,3)="768",NA(),RTD("cqg.rtd",,"StudyData", "Close("&amp;$J23&amp;")when (LocalMonth("&amp;$J23&amp;")="&amp;$A$16&amp;" and LocalDay("&amp;$J23&amp;")="&amp;$B$16&amp;" and LocalYear("&amp;$J23&amp;")="&amp;$C$16&amp;")", "Bar", "", "Close",$D$16, "0","ALL","", "",$E$15,$F$15))</f>
        <v>-21.25</v>
      </c>
      <c r="L23" s="171">
        <f t="shared" si="15"/>
        <v>7.25</v>
      </c>
      <c r="M23" s="171" t="str">
        <f>RTD("cqg.rtd", ,"ContractData", J23,"Symbol",,"T")</f>
        <v>ZSES3X25</v>
      </c>
      <c r="T23" s="179"/>
      <c r="U23" s="179"/>
      <c r="V23" s="179"/>
      <c r="X23" s="179"/>
      <c r="Y23" s="179"/>
      <c r="Z23" s="179"/>
      <c r="AB23" s="179"/>
      <c r="AC23" s="179"/>
    </row>
    <row r="24" spans="5:29" x14ac:dyDescent="0.2">
      <c r="E24" s="171">
        <f xml:space="preserve"> TEXT(RTD("cqg.rtd",,"StudyData", "Close("&amp;$I24&amp;")when (LocalMonth("&amp;$I24&amp;")="&amp;$A$16&amp;" and LocalDay("&amp;$I24&amp;")="&amp;$B$16&amp;" and LocalYear("&amp;$Q10&amp;")="&amp;$C$16&amp;")", "Bar", "", "Close",$D$16, "0","ALL","", "",$E$15,$F$15),$E$29)*1</f>
        <v>1047.25</v>
      </c>
      <c r="G24" s="179">
        <f t="shared" si="12"/>
        <v>5</v>
      </c>
      <c r="I24" s="171" t="str">
        <f t="shared" si="13"/>
        <v>ZSE?9</v>
      </c>
      <c r="J24" s="171" t="str">
        <f t="shared" si="14"/>
        <v>ZSES3??9</v>
      </c>
      <c r="K24" s="171">
        <f>IF(LEFT(M24,3)="768",NA(),RTD("cqg.rtd",,"StudyData", "Close("&amp;$J24&amp;")when (LocalMonth("&amp;$J24&amp;")="&amp;$A$16&amp;" and LocalDay("&amp;$J24&amp;")="&amp;$B$16&amp;" and LocalYear("&amp;$J24&amp;")="&amp;$C$16&amp;")", "Bar", "", "Close",$D$16, "0","ALL","", "",$E$15,$F$15))</f>
        <v>-17.5</v>
      </c>
      <c r="L24" s="171">
        <f t="shared" si="15"/>
        <v>5.12</v>
      </c>
      <c r="M24" s="171" t="str">
        <f>RTD("cqg.rtd", ,"ContractData", J24,"Symbol",,"T")</f>
        <v>ZSES3F26</v>
      </c>
      <c r="T24" s="179"/>
      <c r="U24" s="179"/>
      <c r="V24" s="179"/>
      <c r="X24" s="179"/>
      <c r="Y24" s="179"/>
      <c r="Z24" s="179"/>
      <c r="AB24" s="179"/>
      <c r="AC24" s="179"/>
    </row>
    <row r="25" spans="5:29" x14ac:dyDescent="0.2">
      <c r="E25" s="171">
        <f xml:space="preserve"> TEXT(RTD("cqg.rtd",,"StudyData", "Close("&amp;$I25&amp;")when (LocalMonth("&amp;$I25&amp;")="&amp;$A$16&amp;" and LocalDay("&amp;$I25&amp;")="&amp;$B$16&amp;" and LocalYear("&amp;$Q11&amp;")="&amp;$C$16&amp;")", "Bar", "", "Close",$D$16, "0","ALL","", "",$E$15,$F$15),$E$29)*1</f>
        <v>1050.75</v>
      </c>
      <c r="G25" s="179">
        <f t="shared" si="12"/>
        <v>1</v>
      </c>
      <c r="I25" s="171" t="str">
        <f t="shared" si="13"/>
        <v>ZSE?10</v>
      </c>
      <c r="J25" s="171" t="str">
        <f t="shared" si="14"/>
        <v>ZSES3??10</v>
      </c>
      <c r="K25" s="171">
        <f>IF(LEFT(M25,3)="768",NA(),RTD("cqg.rtd",,"StudyData", "Close("&amp;$J25&amp;")when (LocalMonth("&amp;$J25&amp;")="&amp;$A$16&amp;" and LocalDay("&amp;$J25&amp;")="&amp;$B$16&amp;" and LocalYear("&amp;$J25&amp;")="&amp;$C$16&amp;")", "Bar", "", "Close",$D$16, "0","ALL","", "",$E$15,$F$15))</f>
        <v>-8.5</v>
      </c>
      <c r="L25" s="171" t="e">
        <f t="shared" si="15"/>
        <v>#VALUE!</v>
      </c>
      <c r="M25" s="171" t="str">
        <f>RTD("cqg.rtd", ,"ContractData", J25,"Symbol",,"T")</f>
        <v>ZSES3H26</v>
      </c>
      <c r="T25" s="179"/>
      <c r="U25" s="179"/>
      <c r="V25" s="179"/>
      <c r="X25" s="179"/>
      <c r="Y25" s="179"/>
      <c r="Z25" s="179"/>
    </row>
    <row r="26" spans="5:29" x14ac:dyDescent="0.2">
      <c r="E26" s="171">
        <f xml:space="preserve"> TEXT(RTD("cqg.rtd",,"StudyData", "Close("&amp;$I26&amp;")when (LocalMonth("&amp;$I26&amp;")="&amp;$A$16&amp;" and LocalDay("&amp;$I26&amp;")="&amp;$B$16&amp;" and LocalYear("&amp;$Q12&amp;")="&amp;$C$16&amp;")", "Bar", "", "Close",$D$16, "0","ALL","", "",$E$15,$F$15),$E$29)*1</f>
        <v>1057</v>
      </c>
      <c r="G26" s="179">
        <f t="shared" si="12"/>
        <v>0</v>
      </c>
      <c r="I26" s="171" t="str">
        <f t="shared" si="13"/>
        <v>ZSE?11</v>
      </c>
      <c r="J26" s="171" t="str">
        <f t="shared" si="14"/>
        <v>ZSES3??11</v>
      </c>
      <c r="K26" s="171">
        <f>IF(LEFT(M26,3)="768",NA(),RTD("cqg.rtd",,"StudyData", "Close("&amp;$J26&amp;")when (LocalMonth("&amp;$J26&amp;")="&amp;$A$16&amp;" and LocalDay("&amp;$J26&amp;")="&amp;$B$16&amp;" and LocalYear("&amp;$J26&amp;")="&amp;$C$16&amp;")", "Bar", "", "Close",$D$16, "0","ALL","", "",$E$15,$F$15))</f>
        <v>9</v>
      </c>
      <c r="L26" s="171" t="e">
        <f t="shared" si="15"/>
        <v>#VALUE!</v>
      </c>
      <c r="M26" s="171" t="str">
        <f>RTD("cqg.rtd", ,"ContractData", J26,"Symbol",,"T")</f>
        <v>ZSES3K26</v>
      </c>
      <c r="T26" s="179"/>
      <c r="U26" s="179"/>
      <c r="V26" s="179"/>
      <c r="X26" s="179"/>
      <c r="Y26" s="179"/>
      <c r="Z26" s="179"/>
    </row>
    <row r="27" spans="5:29" x14ac:dyDescent="0.2">
      <c r="E27" s="171">
        <f xml:space="preserve"> TEXT(RTD("cqg.rtd",,"StudyData", "Close("&amp;$I27&amp;")when (LocalMonth("&amp;$I27&amp;")="&amp;$A$16&amp;" and LocalDay("&amp;$I27&amp;")="&amp;$B$16&amp;" and LocalYear("&amp;$Q13&amp;")="&amp;$C$16&amp;")", "Bar", "", "Close",$D$16, "0","ALL","", "",$E$15,$F$15),$E$29)*1</f>
        <v>1064.75</v>
      </c>
      <c r="G27" s="179">
        <f t="shared" si="12"/>
        <v>-0.25</v>
      </c>
      <c r="I27" s="171" t="str">
        <f t="shared" si="13"/>
        <v>ZSE?12</v>
      </c>
      <c r="J27" s="171" t="str">
        <f t="shared" si="14"/>
        <v>ZSES3??12</v>
      </c>
      <c r="K27" s="171">
        <f>IF(LEFT(M27,3)="768",NA(),RTD("cqg.rtd",,"StudyData", "Close("&amp;$J27&amp;")when (LocalMonth("&amp;$J27&amp;")="&amp;$A$16&amp;" and LocalDay("&amp;$J27&amp;")="&amp;$B$16&amp;" and LocalYear("&amp;$J27&amp;")="&amp;$C$16&amp;")", "Bar", "", "Close",$D$16, "0","ALL","", "",$E$15,$F$15))</f>
        <v>14.25</v>
      </c>
      <c r="L27" s="171">
        <f t="shared" si="15"/>
        <v>0.75</v>
      </c>
      <c r="M27" s="171" t="str">
        <f>RTD("cqg.rtd", ,"ContractData", J27,"Symbol",,"T")</f>
        <v>ZSES3N26</v>
      </c>
      <c r="T27" s="179"/>
      <c r="U27" s="179"/>
      <c r="V27" s="179"/>
      <c r="X27" s="179"/>
      <c r="Y27" s="179"/>
      <c r="Z27" s="179"/>
    </row>
    <row r="28" spans="5:29" x14ac:dyDescent="0.2">
      <c r="T28" s="179"/>
      <c r="U28" s="179"/>
      <c r="V28" s="179"/>
      <c r="X28" s="179"/>
      <c r="Y28" s="179"/>
      <c r="Z28" s="179"/>
    </row>
    <row r="29" spans="5:29" x14ac:dyDescent="0.2">
      <c r="E29" s="179" t="str">
        <f>Main!$D$1</f>
        <v>#.00</v>
      </c>
      <c r="T29" s="179"/>
      <c r="U29" s="179"/>
      <c r="V29" s="179"/>
      <c r="X29" s="179"/>
      <c r="Y29" s="179"/>
      <c r="Z29" s="179"/>
    </row>
    <row r="30" spans="5:29" x14ac:dyDescent="0.2">
      <c r="T30" s="179"/>
      <c r="U30" s="179"/>
      <c r="V30" s="179"/>
      <c r="X30" s="179"/>
      <c r="Y30" s="179"/>
      <c r="Z30" s="179"/>
    </row>
    <row r="31" spans="5:29" x14ac:dyDescent="0.2">
      <c r="T31" s="179"/>
      <c r="U31" s="179"/>
      <c r="V31" s="179"/>
      <c r="X31" s="179"/>
      <c r="Y31" s="179"/>
      <c r="Z31" s="179"/>
    </row>
    <row r="32" spans="5:29" x14ac:dyDescent="0.2">
      <c r="R32" s="171" t="s">
        <v>39</v>
      </c>
      <c r="T32" s="179"/>
      <c r="U32" s="179"/>
      <c r="V32" s="179"/>
      <c r="X32" s="179"/>
      <c r="Y32" s="179"/>
      <c r="Z32" s="179"/>
    </row>
    <row r="33" spans="18:26" x14ac:dyDescent="0.2">
      <c r="T33" s="179"/>
      <c r="U33" s="179"/>
      <c r="V33" s="179"/>
    </row>
    <row r="34" spans="18:26" x14ac:dyDescent="0.2">
      <c r="R34" s="171" t="s">
        <v>6</v>
      </c>
      <c r="T34" s="179"/>
      <c r="U34" s="179"/>
      <c r="V34" s="179"/>
      <c r="X34" s="179"/>
      <c r="Y34" s="179"/>
      <c r="Z34" s="171" t="s">
        <v>17</v>
      </c>
    </row>
    <row r="35" spans="18:26" x14ac:dyDescent="0.2">
      <c r="R35" s="171">
        <v>1</v>
      </c>
      <c r="S35" s="171" t="str">
        <f>RTD("cqg.rtd",,"ContractData",Q1&amp;"?1", "Symbol")</f>
        <v>ZSEX24</v>
      </c>
      <c r="T35" s="179"/>
      <c r="U35" s="179"/>
      <c r="V35" s="179"/>
      <c r="X35" s="179"/>
      <c r="Y35" s="179"/>
      <c r="Z35" s="171" t="s">
        <v>18</v>
      </c>
    </row>
    <row r="36" spans="18:26" x14ac:dyDescent="0.2">
      <c r="R36" s="171">
        <f>R35+1</f>
        <v>2</v>
      </c>
      <c r="S36" s="171" t="str">
        <f>RTD("cqg.rtd",,"ContractData",Q1&amp;"?2", "Symbol")</f>
        <v>ZSEF25</v>
      </c>
      <c r="T36" s="179"/>
      <c r="U36" s="179"/>
      <c r="V36" s="179"/>
      <c r="X36" s="179"/>
      <c r="Y36" s="179"/>
      <c r="Z36" s="171" t="s">
        <v>19</v>
      </c>
    </row>
    <row r="37" spans="18:26" x14ac:dyDescent="0.2">
      <c r="R37" s="171">
        <f t="shared" ref="R37:R46" si="16">R36+1</f>
        <v>3</v>
      </c>
      <c r="T37" s="179"/>
      <c r="U37" s="179"/>
      <c r="V37" s="179"/>
      <c r="X37" s="179"/>
      <c r="Y37" s="179"/>
      <c r="Z37" s="171" t="s">
        <v>20</v>
      </c>
    </row>
    <row r="38" spans="18:26" x14ac:dyDescent="0.2">
      <c r="R38" s="171">
        <f t="shared" si="16"/>
        <v>4</v>
      </c>
      <c r="T38" s="179"/>
      <c r="U38" s="179"/>
      <c r="V38" s="179"/>
      <c r="X38" s="179"/>
      <c r="Y38" s="179"/>
      <c r="Z38" s="171" t="s">
        <v>21</v>
      </c>
    </row>
    <row r="39" spans="18:26" x14ac:dyDescent="0.2">
      <c r="R39" s="171">
        <f t="shared" si="16"/>
        <v>5</v>
      </c>
      <c r="T39" s="179"/>
      <c r="U39" s="179"/>
      <c r="V39" s="179"/>
      <c r="X39" s="179"/>
      <c r="Y39" s="179"/>
      <c r="Z39" s="171" t="s">
        <v>22</v>
      </c>
    </row>
    <row r="40" spans="18:26" x14ac:dyDescent="0.2">
      <c r="R40" s="171">
        <f t="shared" si="16"/>
        <v>6</v>
      </c>
      <c r="T40" s="179"/>
      <c r="U40" s="179"/>
      <c r="V40" s="179"/>
      <c r="X40" s="179"/>
      <c r="Y40" s="179"/>
      <c r="Z40" s="171" t="s">
        <v>23</v>
      </c>
    </row>
    <row r="41" spans="18:26" x14ac:dyDescent="0.2">
      <c r="R41" s="171">
        <f t="shared" si="16"/>
        <v>7</v>
      </c>
      <c r="T41" s="179"/>
      <c r="U41" s="179"/>
      <c r="V41" s="179"/>
      <c r="X41" s="179"/>
      <c r="Y41" s="179"/>
      <c r="Z41" s="171" t="s">
        <v>24</v>
      </c>
    </row>
    <row r="42" spans="18:26" x14ac:dyDescent="0.2">
      <c r="R42" s="171">
        <f t="shared" si="16"/>
        <v>8</v>
      </c>
      <c r="T42" s="179"/>
      <c r="U42" s="179"/>
      <c r="V42" s="179"/>
      <c r="X42" s="179"/>
      <c r="Y42" s="179"/>
      <c r="Z42" s="171" t="s">
        <v>25</v>
      </c>
    </row>
    <row r="43" spans="18:26" x14ac:dyDescent="0.2">
      <c r="R43" s="171">
        <f t="shared" si="16"/>
        <v>9</v>
      </c>
      <c r="T43" s="179"/>
      <c r="U43" s="179"/>
      <c r="V43" s="179"/>
      <c r="X43" s="179"/>
      <c r="Y43" s="179"/>
      <c r="Z43" s="171" t="s">
        <v>26</v>
      </c>
    </row>
    <row r="44" spans="18:26" x14ac:dyDescent="0.2">
      <c r="R44" s="171">
        <f t="shared" si="16"/>
        <v>10</v>
      </c>
      <c r="T44" s="179"/>
      <c r="U44" s="179"/>
      <c r="V44" s="179"/>
    </row>
    <row r="45" spans="18:26" x14ac:dyDescent="0.2">
      <c r="R45" s="171">
        <f t="shared" si="16"/>
        <v>11</v>
      </c>
    </row>
    <row r="46" spans="18:26" x14ac:dyDescent="0.2">
      <c r="R46" s="171">
        <f t="shared" si="16"/>
        <v>12</v>
      </c>
      <c r="Z46" s="179"/>
    </row>
  </sheetData>
  <sheetProtection algorithmName="SHA-512" hashValue="CcmNxk+M6ZEhBvGuC5aO4naZKez1DPleM9dPh6AbDyxvhoB5cOlMw0iYrPN5YWm6YXn4XnMTumhdurko8/Osww==" saltValue="RawiQQfR8pAMZDLOxvixJ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46"/>
  <sheetViews>
    <sheetView workbookViewId="0"/>
  </sheetViews>
  <sheetFormatPr defaultColWidth="9" defaultRowHeight="14.25" x14ac:dyDescent="0.2"/>
  <cols>
    <col min="1" max="17" width="9" style="171"/>
    <col min="18" max="18" width="14.375" style="171" customWidth="1"/>
    <col min="19" max="19" width="9" style="171"/>
    <col min="20" max="20" width="15.25" style="171" customWidth="1"/>
    <col min="21" max="21" width="17.75" style="171" customWidth="1"/>
    <col min="22" max="22" width="11.25" style="171" customWidth="1"/>
    <col min="23" max="23" width="40" style="171" customWidth="1"/>
    <col min="24" max="24" width="12.875" style="171" customWidth="1"/>
    <col min="25" max="16384" width="9" style="171"/>
  </cols>
  <sheetData>
    <row r="1" spans="1:38" x14ac:dyDescent="0.2">
      <c r="A1" s="170"/>
      <c r="B1" s="170"/>
      <c r="C1" s="170" t="s">
        <v>2</v>
      </c>
      <c r="D1" s="171">
        <v>4</v>
      </c>
      <c r="E1" s="171">
        <v>2</v>
      </c>
      <c r="F1" s="171">
        <v>3</v>
      </c>
      <c r="G1" s="171">
        <v>4</v>
      </c>
      <c r="H1" s="171">
        <v>5</v>
      </c>
      <c r="I1" s="171">
        <v>6</v>
      </c>
      <c r="J1" s="171">
        <v>7</v>
      </c>
      <c r="K1" s="171">
        <v>8</v>
      </c>
      <c r="L1" s="171">
        <v>9</v>
      </c>
      <c r="M1" s="171">
        <v>10</v>
      </c>
      <c r="N1" s="171">
        <v>11</v>
      </c>
      <c r="O1" s="171">
        <v>12</v>
      </c>
      <c r="P1" s="172"/>
      <c r="Q1" s="173" t="str">
        <f>Main!B4</f>
        <v>ZSE</v>
      </c>
      <c r="R1" s="174" t="s">
        <v>3</v>
      </c>
      <c r="S1" s="174" t="s">
        <v>0</v>
      </c>
      <c r="T1" s="174" t="s">
        <v>1</v>
      </c>
      <c r="U1" s="172" t="s">
        <v>4</v>
      </c>
      <c r="V1" s="172"/>
      <c r="W1" s="174" t="s">
        <v>3</v>
      </c>
      <c r="X1" s="172" t="s">
        <v>4</v>
      </c>
      <c r="Y1" s="174" t="s">
        <v>0</v>
      </c>
      <c r="Z1" s="174" t="s">
        <v>1</v>
      </c>
      <c r="AA1" s="172" t="s">
        <v>5</v>
      </c>
      <c r="AB1" s="172" t="s">
        <v>5</v>
      </c>
      <c r="AC1" s="175"/>
      <c r="AD1" s="172" t="s">
        <v>5</v>
      </c>
    </row>
    <row r="2" spans="1:38" x14ac:dyDescent="0.2">
      <c r="A2" s="170" t="str">
        <f>Q2</f>
        <v>ZSEX24</v>
      </c>
      <c r="B2" s="170" t="str">
        <f>RTD("cqg.rtd", ,"ContractData",A2, "ContractMonth")</f>
        <v>NOV</v>
      </c>
      <c r="C2" s="176" t="str">
        <f>IF(B2="Jan","F",IF(B2="Feb","G",IF(B2="Mar","H",IF(B2="Apr","J",IF(B2="May","K",IF(B2="JUN","M",IF(B2="Jul","N",IF(B2="Aug","Q",IF(B2="Sep","U",IF(B2="Oct","V",IF(B2="Nov","X",IF(B2="Dec","Z"))))))))))))&amp;RIGHT(A2,1)</f>
        <v>X4</v>
      </c>
      <c r="D2" s="171" t="str">
        <f>$Q$1&amp;$C$1&amp;$D$1&amp;$C2</f>
        <v>ZSES4X4</v>
      </c>
      <c r="E2" s="171" t="str">
        <f>$Q$1&amp;$C$1&amp;$D$1&amp;$C3</f>
        <v>ZSES4F5</v>
      </c>
      <c r="F2" s="171" t="str">
        <f>$Q$1&amp;$C$1&amp;$D$1&amp;$C4</f>
        <v>ZSES4H5</v>
      </c>
      <c r="G2" s="171" t="str">
        <f>$Q$1&amp;$C$1&amp;$D$1&amp;$C5</f>
        <v>ZSES4K5</v>
      </c>
      <c r="H2" s="171" t="str">
        <f>$Q$1&amp;$C$1&amp;$D$1&amp;$C6</f>
        <v>ZSES4N5</v>
      </c>
      <c r="I2" s="171" t="str">
        <f>$Q$1&amp;$C$1&amp;$D$1&amp;$C7</f>
        <v>ZSES4Q5</v>
      </c>
      <c r="J2" s="171" t="str">
        <f>$Q$1&amp;$C$1&amp;$D$1&amp;$C8</f>
        <v>ZSES4U5</v>
      </c>
      <c r="K2" s="171" t="str">
        <f>$Q$1&amp;$C$1&amp;$D$1&amp;$C9</f>
        <v>ZSES4X5</v>
      </c>
      <c r="L2" s="171" t="str">
        <f>$Q$1&amp;$C$1&amp;$D$1&amp;$C10</f>
        <v>ZSES4F6</v>
      </c>
      <c r="M2" s="171" t="str">
        <f>$Q$1&amp;$C$1&amp;$D$1&amp;$C11</f>
        <v>ZSES4H6</v>
      </c>
      <c r="N2" s="171" t="str">
        <f>$Q$1&amp;$C$1&amp;$D$1&amp;$C12</f>
        <v>ZSES4K6</v>
      </c>
      <c r="O2" s="171" t="str">
        <f>$Q$1&amp;$C$1&amp;$D$1&amp;$C13</f>
        <v>ZSES4N6</v>
      </c>
      <c r="P2" s="172" t="str">
        <f>LEFT(RIGHT(Q2,2),1)</f>
        <v>2</v>
      </c>
      <c r="Q2" s="177" t="str">
        <f>RTD("cqg.rtd", ,"ContractData", $Q$1&amp;"?"&amp;R35, "Symbol")</f>
        <v>ZSEX24</v>
      </c>
      <c r="R2" s="178">
        <f>RTD("cqg.rtd", ,"ContractData", Q2, $R$1,,"T")</f>
        <v>1017.25</v>
      </c>
      <c r="S2" s="178">
        <f>RTD("cqg.rtd", ,"ContractData", Q2,$S$1,,"T")</f>
        <v>1014.5</v>
      </c>
      <c r="T2" s="178">
        <f>RTD("cqg.rtd", ,"ContractData", Q2,$T$1,,"T")</f>
        <v>1016</v>
      </c>
      <c r="U2" s="175">
        <f>RTD("cqg.rtd", ,"ContractData", "F."&amp;$Q$1&amp;"?1", $U$1,,"T")</f>
        <v>-0.75</v>
      </c>
      <c r="V2" s="172" t="str">
        <f>D2</f>
        <v>ZSES4X4</v>
      </c>
      <c r="W2" s="175" t="str">
        <f>RTD("cqg.rtd", ,"ContractData", V2, $W$1,,"T")</f>
        <v/>
      </c>
      <c r="X2" s="175">
        <f>RTD("cqg.rtd", ,"ContractData", V2, $X$1,,"T")</f>
        <v>-1</v>
      </c>
      <c r="Y2" s="175">
        <f>RTD("cqg.rtd", ,"ContractData",V2,$Y$1,,"T")</f>
        <v>-52.5</v>
      </c>
      <c r="Z2" s="175">
        <f>RTD("cqg.rtd", ,"ContractData", V2,$Z$1,,"T")</f>
        <v>-45.75</v>
      </c>
      <c r="AA2" s="175">
        <f>IF(OR(W2="",W2&lt;Y2,W2&gt;Z2),(Y2+Z2)/2,W2)</f>
        <v>-49.125</v>
      </c>
      <c r="AB2" s="175">
        <f t="shared" ref="AB2:AB13" si="0">IF(OR(S2="",T2=""),R2,(IF(OR(R2="",R2&lt;S2,R2&gt;T2),(S2+T2)/2,R2)))</f>
        <v>1015.25</v>
      </c>
      <c r="AC2" s="175">
        <f>IF(OR(R2="",R2&lt;S2,R2&gt;T2),(S2+T2)/2,R2)</f>
        <v>1015.25</v>
      </c>
      <c r="AD2" s="175">
        <f>IF(OR(Y2="",Z2=""),W2,(IF(OR(W2="",W2&lt;Y2,W2&gt;Z2),(Y2+Z2)/2,W2)))</f>
        <v>-49.125</v>
      </c>
      <c r="AF2" s="171">
        <f>IF(ISERROR(AC2),NA(),AC2)</f>
        <v>1015.25</v>
      </c>
      <c r="AG2" s="171">
        <f>TEXT(IF(LEFT(AD2,3)="768",NA(),IF(AD2="",NA(),AD2)),$E$29)*1</f>
        <v>-49.13</v>
      </c>
      <c r="AH2" s="171">
        <f>IF(P2="F","JAN",IF(P2="G","FEB",IF(P2="H","MAR",IF(P2="J","APR",IF(P2="K","MAY",IF(P2="M","JUN",IF(P2="N","JUL",IF(P2="Q","AUG",IF(P2="U","SEP",IF(P2="V","OCT",IF(P2="X","NOV",IF(P2="Z","DEC",))))))))))))</f>
        <v>0</v>
      </c>
      <c r="AI2" s="171" t="str">
        <f>IFERROR(IF(LEFT(RTD("cqg.rtd",,"ContractData",V2,"LongDescription",,"T"),3)="768","",RIGHT(LEFT(RTD("cqg.rtd", ,"ContractData",V2, "LongDescription",, "T"),LEN(RTD("cqg.rtd", ,"ContractData",V2, "LongDescription",, "T"))-1),LEN(RTD("cqg.rtd", ,"ContractData",V2, "LongDescription",, "T"))-FIND(LEFT(V2,3),RTD("cqg.rtd", ,"ContractData",V2, "LongDescription",, "T"))+2)),"")</f>
        <v>1*ZSEX24-1*ZSEN25</v>
      </c>
      <c r="AJ2" s="171">
        <f>RTD("cqg.rtd", ,"ContractData",Q2, "Settlement",,"T")</f>
        <v>1016.75</v>
      </c>
      <c r="AK2" s="171">
        <f>RTD("cqg.rtd", ,"ContractData",V2, "Settlement",,"T")</f>
        <v>-51.5</v>
      </c>
      <c r="AL2" s="171">
        <f>IF(AJ2="",NA(),AJ2)</f>
        <v>1016.75</v>
      </c>
    </row>
    <row r="3" spans="1:38" x14ac:dyDescent="0.2">
      <c r="A3" s="170" t="str">
        <f t="shared" ref="A3:A13" si="1">Q3</f>
        <v>ZSEF25</v>
      </c>
      <c r="B3" s="170" t="str">
        <f>RTD("cqg.rtd", ,"ContractData",A3, "ContractMonth")</f>
        <v>JAN</v>
      </c>
      <c r="C3" s="176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F5</v>
      </c>
      <c r="D3" s="171" t="str">
        <f t="shared" ref="D3:D13" si="3">$Q$1&amp;$C$1&amp;$D$1&amp;$C3</f>
        <v>ZSES4F5</v>
      </c>
      <c r="P3" s="172" t="str">
        <f t="shared" ref="P3:P13" si="4">LEFT(RIGHT(Q3,2),1)</f>
        <v>2</v>
      </c>
      <c r="Q3" s="177" t="str">
        <f>IF(LEFT(RTD("cqg.rtd",,"ContractData",$Q$1&amp;"?"&amp;R36,"Symbol"),LEN($Q$1))=LEFT(RTD("cqg.rtd",,"ContractData",$Q$1&amp;"?"&amp;$R$35,"Symbol"),LEN($Q$1)),RTD("cqg.rtd",,"ContractData",$Q$1&amp;"?"&amp;R36,"Symbol"),NA())</f>
        <v>ZSEF25</v>
      </c>
      <c r="R3" s="178">
        <f>RTD("cqg.rtd", ,"ContractData", Q3, $R$1,,"T")</f>
        <v>1027.25</v>
      </c>
      <c r="S3" s="178">
        <f>RTD("cqg.rtd", ,"ContractData", Q3,$S$1,,"T")</f>
        <v>1027</v>
      </c>
      <c r="T3" s="178">
        <f>RTD("cqg.rtd", ,"ContractData", Q3,$T$1,,"T")</f>
        <v>1027.25</v>
      </c>
      <c r="U3" s="175">
        <f>RTD("cqg.rtd", ,"ContractData", "F."&amp;$Q$1&amp;"?2",  $U$1,,"T")</f>
        <v>-3</v>
      </c>
      <c r="V3" s="172" t="str">
        <f>E2</f>
        <v>ZSES4F5</v>
      </c>
      <c r="W3" s="175">
        <f>RTD("cqg.rtd", ,"ContractData", V3, $W$1,,"T")</f>
        <v>-33.25</v>
      </c>
      <c r="X3" s="175">
        <f>RTD("cqg.rtd", ,"ContractData", V3, $X$1,,"T")</f>
        <v>4</v>
      </c>
      <c r="Y3" s="175">
        <f>RTD("cqg.rtd", ,"ContractData",V3,$Y$1,,"T")</f>
        <v>-33.5</v>
      </c>
      <c r="Z3" s="175">
        <f>RTD("cqg.rtd", ,"ContractData", V3,$Z$1,,"T")</f>
        <v>-33</v>
      </c>
      <c r="AA3" s="175">
        <f t="shared" ref="AA3:AA13" si="5">IF(OR(W3="",W3&lt;Y3,W3&gt;Z3),(Y3+Z3)/2,W3)</f>
        <v>-33.25</v>
      </c>
      <c r="AB3" s="175">
        <f t="shared" si="0"/>
        <v>1027.25</v>
      </c>
      <c r="AC3" s="175">
        <f>IF(OR(R3="",R3&lt;S3,R3&gt;T3),(S3+T3)/2,R3)</f>
        <v>1027.25</v>
      </c>
      <c r="AD3" s="175">
        <f t="shared" ref="AD3:AD13" si="6">IF(OR(Y3="",Z3=""),W3,(IF(OR(W3="",W3&lt;Y3,W3&gt;Z3),(Y3+Z3)/2,W3)))</f>
        <v>-33.25</v>
      </c>
      <c r="AF3" s="171">
        <f t="shared" ref="AF3:AF13" si="7">IF(ISERROR(AC3),NA(),AC3)</f>
        <v>1027.25</v>
      </c>
      <c r="AG3" s="171">
        <f>TEXT(IF(LEFT(AD3,3)="768",NA(),IF(AD3="",NA(),AD3)),$E$29)*1</f>
        <v>-33.25</v>
      </c>
      <c r="AH3" s="171">
        <f t="shared" ref="AH3:AH13" si="8">IF(P3="F","JAN",IF(P3="G","FEB",IF(P3="H","MAR",IF(P3="J","APR",IF(P3="K","MAY",IF(P3="M","JUN",IF(P3="N","JUL",IF(P3="Q","AUG",IF(P3="U","SEP",IF(P3="V","OCT",IF(P3="X","NOV",IF(P3="Z","DEC",))))))))))))</f>
        <v>0</v>
      </c>
      <c r="AI3" s="171" t="str">
        <f>IFERROR(IF(LEFT(RTD("cqg.rtd",,"ContractData",V3,"LongDescription",,"T"),3)="768","",RIGHT(LEFT(RTD("cqg.rtd", ,"ContractData",V3, "LongDescription",, "T"),LEN(RTD("cqg.rtd", ,"ContractData",V3, "LongDescription",, "T"))-1),LEN(RTD("cqg.rtd", ,"ContractData",V3, "LongDescription",, "T"))-FIND(LEFT(V3,3),RTD("cqg.rtd", ,"ContractData",V3, "LongDescription",, "T"))+2)),"")</f>
        <v>1*ZSEF25-1*ZSEQ25</v>
      </c>
      <c r="AJ3" s="171">
        <f>RTD("cqg.rtd", ,"ContractData",Q3, "Settlement",,"T")</f>
        <v>1030.25</v>
      </c>
      <c r="AK3" s="171">
        <f>RTD("cqg.rtd", ,"ContractData",V3, "Settlement",,"T")</f>
        <v>-37</v>
      </c>
      <c r="AL3" s="171">
        <f t="shared" ref="AL3:AL13" si="9">IF(AJ3="",NA(),AJ3)</f>
        <v>1030.25</v>
      </c>
    </row>
    <row r="4" spans="1:38" x14ac:dyDescent="0.2">
      <c r="A4" s="170" t="str">
        <f t="shared" si="1"/>
        <v>ZSEH25</v>
      </c>
      <c r="B4" s="170" t="str">
        <f>RTD("cqg.rtd", ,"ContractData",A4, "ContractMonth")</f>
        <v>MAR</v>
      </c>
      <c r="C4" s="176" t="str">
        <f t="shared" si="2"/>
        <v>H5</v>
      </c>
      <c r="D4" s="171" t="str">
        <f t="shared" si="3"/>
        <v>ZSES4H5</v>
      </c>
      <c r="P4" s="172" t="str">
        <f t="shared" si="4"/>
        <v>2</v>
      </c>
      <c r="Q4" s="177" t="str">
        <f>IF(LEFT(RTD("cqg.rtd",,"ContractData",$Q$1&amp;"?"&amp;R37,"Symbol"),LEN($Q$1))=LEFT(RTD("cqg.rtd",,"ContractData",$Q$1&amp;"?"&amp;$R$35,"Symbol"),LEN($Q$1)),RTD("cqg.rtd",,"ContractData",$Q$1&amp;"?"&amp;R37,"Symbol"),NA())</f>
        <v>ZSEH25</v>
      </c>
      <c r="R4" s="178">
        <f>RTD("cqg.rtd", ,"ContractData", Q4, $R$1,,"T")</f>
        <v>1039</v>
      </c>
      <c r="S4" s="178">
        <f>RTD("cqg.rtd", ,"ContractData", Q4,$S$1,,"T")</f>
        <v>1038.75</v>
      </c>
      <c r="T4" s="178">
        <f>RTD("cqg.rtd", ,"ContractData", Q4,$T$1,,"T")</f>
        <v>1039</v>
      </c>
      <c r="U4" s="175">
        <f>RTD("cqg.rtd", ,"ContractData", "F."&amp;$Q$1&amp;"?3",  $U$1,,"T")</f>
        <v>-4.5</v>
      </c>
      <c r="V4" s="172" t="str">
        <f>F2</f>
        <v>ZSES4H5</v>
      </c>
      <c r="W4" s="175">
        <f>RTD("cqg.rtd", ,"ContractData", V4, $W$1,,"T")</f>
        <v>-6.25</v>
      </c>
      <c r="X4" s="175">
        <f>RTD("cqg.rtd", ,"ContractData", V4, $X$1,,"T")</f>
        <v>3.75</v>
      </c>
      <c r="Y4" s="175">
        <f>RTD("cqg.rtd", ,"ContractData",V4,$Y$1,,"T")</f>
        <v>-6.75</v>
      </c>
      <c r="Z4" s="175">
        <f>RTD("cqg.rtd", ,"ContractData", V4,$Z$1,,"T")</f>
        <v>-6.25</v>
      </c>
      <c r="AA4" s="175">
        <f t="shared" si="5"/>
        <v>-6.25</v>
      </c>
      <c r="AB4" s="175">
        <f t="shared" si="0"/>
        <v>1039</v>
      </c>
      <c r="AC4" s="175">
        <f t="shared" ref="AC4:AC13" si="10">IF(OR(R4="",R4&lt;S4,R4&gt;T4),(S4+T4)/2,R4)</f>
        <v>1039</v>
      </c>
      <c r="AD4" s="175">
        <f t="shared" si="6"/>
        <v>-6.25</v>
      </c>
      <c r="AF4" s="171">
        <f t="shared" si="7"/>
        <v>1039</v>
      </c>
      <c r="AG4" s="171">
        <f t="shared" ref="AG4:AG13" si="11">TEXT(IF(LEFT(AD4,3)="768",NA(),IF(AD4="",NA(),AD4)),$E$29)*1</f>
        <v>-6.25</v>
      </c>
      <c r="AH4" s="171">
        <f t="shared" si="8"/>
        <v>0</v>
      </c>
      <c r="AI4" s="171" t="str">
        <f>IFERROR(IF(LEFT(RTD("cqg.rtd",,"ContractData",V4,"LongDescription",,"T"),3)="768","",RIGHT(LEFT(RTD("cqg.rtd", ,"ContractData",V4, "LongDescription",, "T"),LEN(RTD("cqg.rtd", ,"ContractData",V4, "LongDescription",, "T"))-1),LEN(RTD("cqg.rtd", ,"ContractData",V4, "LongDescription",, "T"))-FIND(LEFT(V4,3),RTD("cqg.rtd", ,"ContractData",V4, "LongDescription",, "T"))+2)),"")</f>
        <v>1*ZSEH25-1*ZSEU25</v>
      </c>
      <c r="AJ4" s="171">
        <f>RTD("cqg.rtd", ,"ContractData",Q4, "Settlement",,"T")</f>
        <v>1043.5</v>
      </c>
      <c r="AK4" s="171">
        <f>RTD("cqg.rtd", ,"ContractData",V4, "Settlement",,"T")</f>
        <v>-10.5</v>
      </c>
      <c r="AL4" s="171">
        <f t="shared" si="9"/>
        <v>1043.5</v>
      </c>
    </row>
    <row r="5" spans="1:38" x14ac:dyDescent="0.2">
      <c r="A5" s="170" t="str">
        <f t="shared" si="1"/>
        <v>ZSEK25</v>
      </c>
      <c r="B5" s="170" t="str">
        <f>RTD("cqg.rtd", ,"ContractData",A5, "ContractMonth")</f>
        <v>MAY</v>
      </c>
      <c r="C5" s="176" t="str">
        <f t="shared" si="2"/>
        <v>K5</v>
      </c>
      <c r="D5" s="171" t="str">
        <f t="shared" si="3"/>
        <v>ZSES4K5</v>
      </c>
      <c r="P5" s="172" t="str">
        <f t="shared" si="4"/>
        <v>2</v>
      </c>
      <c r="Q5" s="177" t="str">
        <f>IF(LEFT(RTD("cqg.rtd",,"ContractData",$Q$1&amp;"?"&amp;R38,"Symbol"),LEN($Q$1))=LEFT(RTD("cqg.rtd",,"ContractData",$Q$1&amp;"?"&amp;$R$35,"Symbol"),LEN($Q$1)),RTD("cqg.rtd",,"ContractData",$Q$1&amp;"?"&amp;R38,"Symbol"),NA())</f>
        <v>ZSEK25</v>
      </c>
      <c r="R5" s="178">
        <f>RTD("cqg.rtd", ,"ContractData", Q5, $R$1,,"T")</f>
        <v>1051.25</v>
      </c>
      <c r="S5" s="178">
        <f>RTD("cqg.rtd", ,"ContractData", Q5,$S$1,,"T")</f>
        <v>1051.25</v>
      </c>
      <c r="T5" s="178">
        <f>RTD("cqg.rtd", ,"ContractData", Q5,$T$1,,"T")</f>
        <v>1051.75</v>
      </c>
      <c r="U5" s="175">
        <f>RTD("cqg.rtd", ,"ContractData", "F."&amp;$Q$1&amp;"?4",  $U$1,,"T")</f>
        <v>-5</v>
      </c>
      <c r="V5" s="172" t="str">
        <f>G2</f>
        <v>ZSES4K5</v>
      </c>
      <c r="W5" s="175">
        <f>RTD("cqg.rtd", ,"ContractData", V5, $W$1,,"T")</f>
        <v>8.5</v>
      </c>
      <c r="X5" s="175">
        <f>RTD("cqg.rtd", ,"ContractData", V5, $X$1,,"T")</f>
        <v>4</v>
      </c>
      <c r="Y5" s="175">
        <f>RTD("cqg.rtd", ,"ContractData",V5,$Y$1,,"T")</f>
        <v>8.25</v>
      </c>
      <c r="Z5" s="175">
        <f>RTD("cqg.rtd", ,"ContractData", V5,$Z$1,,"T")</f>
        <v>8.75</v>
      </c>
      <c r="AA5" s="175">
        <f t="shared" si="5"/>
        <v>8.5</v>
      </c>
      <c r="AB5" s="175">
        <f t="shared" si="0"/>
        <v>1051.25</v>
      </c>
      <c r="AC5" s="175">
        <f t="shared" si="10"/>
        <v>1051.25</v>
      </c>
      <c r="AD5" s="175">
        <f t="shared" si="6"/>
        <v>8.5</v>
      </c>
      <c r="AF5" s="171">
        <f t="shared" si="7"/>
        <v>1051.25</v>
      </c>
      <c r="AG5" s="171">
        <f t="shared" si="11"/>
        <v>8.5</v>
      </c>
      <c r="AH5" s="171">
        <f t="shared" si="8"/>
        <v>0</v>
      </c>
      <c r="AI5" s="171" t="str">
        <f>IFERROR(IF(LEFT(RTD("cqg.rtd",,"ContractData",V5,"LongDescription",,"T"),3)="768","",RIGHT(LEFT(RTD("cqg.rtd", ,"ContractData",V5, "LongDescription",, "T"),LEN(RTD("cqg.rtd", ,"ContractData",V5, "LongDescription",, "T"))-1),LEN(RTD("cqg.rtd", ,"ContractData",V5, "LongDescription",, "T"))-FIND(LEFT(V5,3),RTD("cqg.rtd", ,"ContractData",V5, "LongDescription",, "T"))+2)),"")</f>
        <v>1*ZSEK25-1*ZSEX25</v>
      </c>
      <c r="AJ5" s="171">
        <f>RTD("cqg.rtd", ,"ContractData",Q5, "Settlement",,"T")</f>
        <v>1056.75</v>
      </c>
      <c r="AK5" s="171">
        <f>RTD("cqg.rtd", ,"ContractData",V5, "Settlement",,"T")</f>
        <v>4.25</v>
      </c>
      <c r="AL5" s="171">
        <f t="shared" si="9"/>
        <v>1056.75</v>
      </c>
    </row>
    <row r="6" spans="1:38" x14ac:dyDescent="0.2">
      <c r="A6" s="170" t="str">
        <f t="shared" si="1"/>
        <v>ZSEN25</v>
      </c>
      <c r="B6" s="170" t="str">
        <f>RTD("cqg.rtd", ,"ContractData",A6, "ContractMonth")</f>
        <v>JUL</v>
      </c>
      <c r="C6" s="176" t="str">
        <f t="shared" si="2"/>
        <v>N5</v>
      </c>
      <c r="D6" s="171" t="str">
        <f t="shared" si="3"/>
        <v>ZSES4N5</v>
      </c>
      <c r="P6" s="172" t="str">
        <f t="shared" si="4"/>
        <v>2</v>
      </c>
      <c r="Q6" s="177" t="str">
        <f>IF(LEFT(RTD("cqg.rtd",,"ContractData",$Q$1&amp;"?"&amp;R39,"Symbol"),LEN($Q$1))=LEFT(RTD("cqg.rtd",,"ContractData",$Q$1&amp;"?"&amp;$R$35,"Symbol"),LEN($Q$1)),RTD("cqg.rtd",,"ContractData",$Q$1&amp;"?"&amp;R39,"Symbol"),NA())</f>
        <v>ZSEN25</v>
      </c>
      <c r="R6" s="178">
        <f>RTD("cqg.rtd", ,"ContractData", Q6, $R$1,,"T")</f>
        <v>1062.5</v>
      </c>
      <c r="S6" s="178">
        <f>RTD("cqg.rtd", ,"ContractData", Q6,$S$1,,"T")</f>
        <v>1062.25</v>
      </c>
      <c r="T6" s="178">
        <f>RTD("cqg.rtd", ,"ContractData", Q6,$T$1,,"T")</f>
        <v>1062.75</v>
      </c>
      <c r="U6" s="175">
        <f>RTD("cqg.rtd", ,"ContractData", "F."&amp;$Q$1&amp;"?5",  $U$1,,"T")</f>
        <v>-5.5</v>
      </c>
      <c r="V6" s="172" t="str">
        <f>H2</f>
        <v>ZSES4N5</v>
      </c>
      <c r="W6" s="175" t="str">
        <f>RTD("cqg.rtd", ,"ContractData", V6, $W$1,,"T")</f>
        <v/>
      </c>
      <c r="X6" s="175">
        <f>RTD("cqg.rtd", ,"ContractData", V6, $X$1,,"T")</f>
        <v>4.5</v>
      </c>
      <c r="Y6" s="175">
        <f>RTD("cqg.rtd", ,"ContractData",V6,$Y$1,,"T")</f>
        <v>9.75</v>
      </c>
      <c r="Z6" s="175">
        <f>RTD("cqg.rtd", ,"ContractData", V6,$Z$1,,"T")</f>
        <v>11</v>
      </c>
      <c r="AA6" s="175">
        <f t="shared" si="5"/>
        <v>10.375</v>
      </c>
      <c r="AB6" s="175">
        <f t="shared" si="0"/>
        <v>1062.5</v>
      </c>
      <c r="AC6" s="175">
        <f t="shared" si="10"/>
        <v>1062.5</v>
      </c>
      <c r="AD6" s="175">
        <f t="shared" si="6"/>
        <v>10.375</v>
      </c>
      <c r="AF6" s="171">
        <f t="shared" si="7"/>
        <v>1062.5</v>
      </c>
      <c r="AG6" s="171">
        <f t="shared" si="11"/>
        <v>10.38</v>
      </c>
      <c r="AH6" s="171">
        <f t="shared" si="8"/>
        <v>0</v>
      </c>
      <c r="AI6" s="171" t="str">
        <f>IFERROR(IF(LEFT(RTD("cqg.rtd",,"ContractData",V6,"LongDescription",,"T"),3)="768","",RIGHT(LEFT(RTD("cqg.rtd", ,"ContractData",V6, "LongDescription",, "T"),LEN(RTD("cqg.rtd", ,"ContractData",V6, "LongDescription",, "T"))-1),LEN(RTD("cqg.rtd", ,"ContractData",V6, "LongDescription",, "T"))-FIND(LEFT(V6,3),RTD("cqg.rtd", ,"ContractData",V6, "LongDescription",, "T"))+2)),"")</f>
        <v>1*ZSEN25-1*ZSEF26</v>
      </c>
      <c r="AJ6" s="171">
        <f>RTD("cqg.rtd", ,"ContractData",Q6, "Settlement",,"T")</f>
        <v>1068.25</v>
      </c>
      <c r="AK6" s="171">
        <f>RTD("cqg.rtd", ,"ContractData",V6, "Settlement",,"T")</f>
        <v>6.5</v>
      </c>
      <c r="AL6" s="171">
        <f t="shared" si="9"/>
        <v>1068.25</v>
      </c>
    </row>
    <row r="7" spans="1:38" x14ac:dyDescent="0.2">
      <c r="A7" s="170" t="str">
        <f t="shared" si="1"/>
        <v>ZSEQ25</v>
      </c>
      <c r="B7" s="170" t="str">
        <f>RTD("cqg.rtd", ,"ContractData",A7, "ContractMonth")</f>
        <v>AUG</v>
      </c>
      <c r="C7" s="176" t="str">
        <f t="shared" si="2"/>
        <v>Q5</v>
      </c>
      <c r="D7" s="171" t="str">
        <f t="shared" si="3"/>
        <v>ZSES4Q5</v>
      </c>
      <c r="P7" s="172" t="str">
        <f t="shared" si="4"/>
        <v>2</v>
      </c>
      <c r="Q7" s="177" t="str">
        <f>IF(LEFT(RTD("cqg.rtd",,"ContractData",$Q$1&amp;"?"&amp;R40,"Symbol"),LEN($Q$1))=LEFT(RTD("cqg.rtd",,"ContractData",$Q$1&amp;"?"&amp;$R$35,"Symbol"),LEN($Q$1)),RTD("cqg.rtd",,"ContractData",$Q$1&amp;"?"&amp;R40,"Symbol"),NA())</f>
        <v>ZSEQ25</v>
      </c>
      <c r="R7" s="178">
        <f>RTD("cqg.rtd", ,"ContractData", Q7, $R$1,,"T")</f>
        <v>1060.5</v>
      </c>
      <c r="S7" s="178">
        <f>RTD("cqg.rtd", ,"ContractData", Q7,$S$1,,"T")</f>
        <v>1060</v>
      </c>
      <c r="T7" s="178">
        <f>RTD("cqg.rtd", ,"ContractData", Q7,$T$1,,"T")</f>
        <v>1060.5</v>
      </c>
      <c r="U7" s="175">
        <f>RTD("cqg.rtd", ,"ContractData", "F."&amp;$Q$1&amp;"?6", $U$1,,"T")</f>
        <v>-7.25</v>
      </c>
      <c r="V7" s="172" t="str">
        <f>I2</f>
        <v>ZSES4Q5</v>
      </c>
      <c r="W7" s="175" t="str">
        <f>RTD("cqg.rtd", ,"ContractData", V7, $W$1,,"T")</f>
        <v/>
      </c>
      <c r="X7" s="175">
        <f>RTD("cqg.rtd", ,"ContractData", V7, $X$1,,"T")</f>
        <v>2.25</v>
      </c>
      <c r="Y7" s="175">
        <f>RTD("cqg.rtd", ,"ContractData",V7,$Y$1,,"T")</f>
        <v>7.75</v>
      </c>
      <c r="Z7" s="175">
        <f>RTD("cqg.rtd", ,"ContractData", V7,$Z$1,,"T")</f>
        <v>9.5</v>
      </c>
      <c r="AA7" s="175">
        <f t="shared" si="5"/>
        <v>8.625</v>
      </c>
      <c r="AB7" s="175">
        <f t="shared" si="0"/>
        <v>1060.5</v>
      </c>
      <c r="AC7" s="175">
        <f t="shared" si="10"/>
        <v>1060.5</v>
      </c>
      <c r="AD7" s="175">
        <f t="shared" si="6"/>
        <v>8.625</v>
      </c>
      <c r="AF7" s="171">
        <f t="shared" si="7"/>
        <v>1060.5</v>
      </c>
      <c r="AG7" s="171">
        <f t="shared" si="11"/>
        <v>8.6300000000000008</v>
      </c>
      <c r="AH7" s="171">
        <f t="shared" si="8"/>
        <v>0</v>
      </c>
      <c r="AI7" s="171" t="str">
        <f>IFERROR(IF(LEFT(RTD("cqg.rtd",,"ContractData",V7,"LongDescription",,"T"),3)="768","",RIGHT(LEFT(RTD("cqg.rtd", ,"ContractData",V7, "LongDescription",, "T"),LEN(RTD("cqg.rtd", ,"ContractData",V7, "LongDescription",, "T"))-1),LEN(RTD("cqg.rtd", ,"ContractData",V7, "LongDescription",, "T"))-FIND(LEFT(V7,3),RTD("cqg.rtd", ,"ContractData",V7, "LongDescription",, "T"))+2)),"")</f>
        <v>1*ZSEQ25-1*ZSEH26</v>
      </c>
      <c r="AJ7" s="171">
        <f>RTD("cqg.rtd", ,"ContractData",Q7, "Settlement",,"T")</f>
        <v>1067.25</v>
      </c>
      <c r="AK7" s="171">
        <f>RTD("cqg.rtd", ,"ContractData",V7, "Settlement",,"T")</f>
        <v>5.5</v>
      </c>
      <c r="AL7" s="171">
        <f t="shared" si="9"/>
        <v>1067.25</v>
      </c>
    </row>
    <row r="8" spans="1:38" x14ac:dyDescent="0.2">
      <c r="A8" s="170" t="str">
        <f t="shared" si="1"/>
        <v>ZSEU25</v>
      </c>
      <c r="B8" s="170" t="str">
        <f>RTD("cqg.rtd", ,"ContractData",A8, "ContractMonth")</f>
        <v>SEP</v>
      </c>
      <c r="C8" s="176" t="str">
        <f t="shared" si="2"/>
        <v>U5</v>
      </c>
      <c r="D8" s="171" t="str">
        <f t="shared" si="3"/>
        <v>ZSES4U5</v>
      </c>
      <c r="P8" s="172" t="str">
        <f t="shared" si="4"/>
        <v>2</v>
      </c>
      <c r="Q8" s="177" t="str">
        <f>IF(LEFT(RTD("cqg.rtd",,"ContractData",$Q$1&amp;"?"&amp;R41,"Symbol"),LEN($Q$1))=LEFT(RTD("cqg.rtd",,"ContractData",$Q$1&amp;"?"&amp;$R$35,"Symbol"),LEN($Q$1)),RTD("cqg.rtd",,"ContractData",$Q$1&amp;"?"&amp;R41,"Symbol"),NA())</f>
        <v>ZSEU25</v>
      </c>
      <c r="R8" s="178">
        <f>RTD("cqg.rtd", ,"ContractData", Q8, $R$1,,"T")</f>
        <v>1046</v>
      </c>
      <c r="S8" s="178">
        <f>RTD("cqg.rtd", ,"ContractData", Q8,$S$1,,"T")</f>
        <v>1045</v>
      </c>
      <c r="T8" s="178">
        <f>RTD("cqg.rtd", ,"ContractData", Q8,$T$1,,"T")</f>
        <v>1045.5</v>
      </c>
      <c r="U8" s="175">
        <f>RTD("cqg.rtd", ,"ContractData", "F."&amp;$Q$1&amp;"?7", $U$1,,"T")</f>
        <v>-9</v>
      </c>
      <c r="V8" s="172" t="str">
        <f>J2</f>
        <v>ZSES4U5</v>
      </c>
      <c r="W8" s="175" t="str">
        <f>RTD("cqg.rtd", ,"ContractData", V8, $W$1,,"T")</f>
        <v/>
      </c>
      <c r="X8" s="175">
        <f>RTD("cqg.rtd", ,"ContractData", V8, $X$1,,"T")</f>
        <v>0.75</v>
      </c>
      <c r="Y8" s="175">
        <f>RTD("cqg.rtd", ,"ContractData",V8,$Y$1,,"T")</f>
        <v>-13</v>
      </c>
      <c r="Z8" s="175">
        <f>RTD("cqg.rtd", ,"ContractData", V8,$Z$1,,"T")</f>
        <v>-10.75</v>
      </c>
      <c r="AA8" s="175">
        <f t="shared" si="5"/>
        <v>-11.875</v>
      </c>
      <c r="AB8" s="175">
        <f t="shared" si="0"/>
        <v>1045.25</v>
      </c>
      <c r="AC8" s="175">
        <f t="shared" si="10"/>
        <v>1045.25</v>
      </c>
      <c r="AD8" s="175">
        <f t="shared" si="6"/>
        <v>-11.875</v>
      </c>
      <c r="AF8" s="171">
        <f t="shared" si="7"/>
        <v>1045.25</v>
      </c>
      <c r="AG8" s="171">
        <f t="shared" si="11"/>
        <v>-11.88</v>
      </c>
      <c r="AH8" s="171">
        <f t="shared" si="8"/>
        <v>0</v>
      </c>
      <c r="AI8" s="171" t="str">
        <f>IFERROR(IF(LEFT(RTD("cqg.rtd",,"ContractData",V8,"LongDescription",,"T"),3)="768","",RIGHT(LEFT(RTD("cqg.rtd", ,"ContractData",V8, "LongDescription",, "T"),LEN(RTD("cqg.rtd", ,"ContractData",V8, "LongDescription",, "T"))-1),LEN(RTD("cqg.rtd", ,"ContractData",V8, "LongDescription",, "T"))-FIND(LEFT(V8,3),RTD("cqg.rtd", ,"ContractData",V8, "LongDescription",, "T"))+2)),"")</f>
        <v>1*ZSEU25-1*ZSEK26</v>
      </c>
      <c r="AJ8" s="171">
        <f>RTD("cqg.rtd", ,"ContractData",Q8, "Settlement",,"T")</f>
        <v>1054</v>
      </c>
      <c r="AK8" s="171">
        <f>RTD("cqg.rtd", ,"ContractData",V8, "Settlement",,"T")</f>
        <v>-13.75</v>
      </c>
      <c r="AL8" s="171">
        <f t="shared" si="9"/>
        <v>1054</v>
      </c>
    </row>
    <row r="9" spans="1:38" x14ac:dyDescent="0.2">
      <c r="A9" s="170" t="str">
        <f t="shared" si="1"/>
        <v>ZSEX25</v>
      </c>
      <c r="B9" s="170" t="str">
        <f>RTD("cqg.rtd", ,"ContractData",A9, "ContractMonth")</f>
        <v>NOV</v>
      </c>
      <c r="C9" s="176" t="str">
        <f t="shared" si="2"/>
        <v>X5</v>
      </c>
      <c r="D9" s="171" t="str">
        <f t="shared" si="3"/>
        <v>ZSES4X5</v>
      </c>
      <c r="P9" s="172" t="str">
        <f t="shared" si="4"/>
        <v>2</v>
      </c>
      <c r="Q9" s="177" t="str">
        <f>IF(LEFT(RTD("cqg.rtd",,"ContractData",$Q$1&amp;"?"&amp;R42,"Symbol"),LEN($Q$1))=LEFT(RTD("cqg.rtd",,"ContractData",$Q$1&amp;"?"&amp;$R$35,"Symbol"),LEN($Q$1)),RTD("cqg.rtd",,"ContractData",$Q$1&amp;"?"&amp;R42,"Symbol"),NA())</f>
        <v>ZSEX25</v>
      </c>
      <c r="R9" s="178">
        <f>RTD("cqg.rtd", ,"ContractData", Q9, $R$1,,"T")</f>
        <v>1043</v>
      </c>
      <c r="S9" s="178">
        <f>RTD("cqg.rtd", ,"ContractData", Q9,$S$1,,"T")</f>
        <v>1042.75</v>
      </c>
      <c r="T9" s="178">
        <f>RTD("cqg.rtd", ,"ContractData", Q9,$T$1,,"T")</f>
        <v>1043.25</v>
      </c>
      <c r="U9" s="175">
        <f>RTD("cqg.rtd", ,"ContractData", "F."&amp;$Q$1&amp;"?8", $U$1,,"T")</f>
        <v>-9.25</v>
      </c>
      <c r="V9" s="172" t="str">
        <f>K2</f>
        <v>ZSES4X5</v>
      </c>
      <c r="W9" s="175">
        <f>RTD("cqg.rtd", ,"ContractData", V9, $W$1,,"T")</f>
        <v>-22.25</v>
      </c>
      <c r="X9" s="175">
        <f>RTD("cqg.rtd", ,"ContractData", V9, $X$1,,"T")</f>
        <v>1</v>
      </c>
      <c r="Y9" s="175">
        <f>RTD("cqg.rtd", ,"ContractData",V9,$Y$1,,"T")</f>
        <v>-22.25</v>
      </c>
      <c r="Z9" s="175">
        <f>RTD("cqg.rtd", ,"ContractData", V9,$Z$1,,"T")</f>
        <v>-20.75</v>
      </c>
      <c r="AA9" s="175">
        <f t="shared" si="5"/>
        <v>-22.25</v>
      </c>
      <c r="AB9" s="175">
        <f t="shared" si="0"/>
        <v>1043</v>
      </c>
      <c r="AC9" s="175">
        <f t="shared" si="10"/>
        <v>1043</v>
      </c>
      <c r="AD9" s="175">
        <f t="shared" si="6"/>
        <v>-22.25</v>
      </c>
      <c r="AF9" s="171">
        <f t="shared" si="7"/>
        <v>1043</v>
      </c>
      <c r="AG9" s="171">
        <f t="shared" si="11"/>
        <v>-22.25</v>
      </c>
      <c r="AH9" s="171">
        <f t="shared" si="8"/>
        <v>0</v>
      </c>
      <c r="AI9" s="171" t="str">
        <f>IFERROR(IF(LEFT(RTD("cqg.rtd",,"ContractData",V9,"LongDescription",,"T"),3)="768","",RIGHT(LEFT(RTD("cqg.rtd", ,"ContractData",V9, "LongDescription",, "T"),LEN(RTD("cqg.rtd", ,"ContractData",V9, "LongDescription",, "T"))-1),LEN(RTD("cqg.rtd", ,"ContractData",V9, "LongDescription",, "T"))-FIND(LEFT(V9,3),RTD("cqg.rtd", ,"ContractData",V9, "LongDescription",, "T"))+2)),"")</f>
        <v>1*ZSEX25-1*ZSEN26</v>
      </c>
      <c r="AJ9" s="171">
        <f>RTD("cqg.rtd", ,"ContractData",Q9, "Settlement",,"T")</f>
        <v>1052.5</v>
      </c>
      <c r="AK9" s="171">
        <f>RTD("cqg.rtd", ,"ContractData",V9, "Settlement",,"T")</f>
        <v>-23.25</v>
      </c>
      <c r="AL9" s="171">
        <f t="shared" si="9"/>
        <v>1052.5</v>
      </c>
    </row>
    <row r="10" spans="1:38" x14ac:dyDescent="0.2">
      <c r="A10" s="170" t="str">
        <f t="shared" si="1"/>
        <v>ZSEF26</v>
      </c>
      <c r="B10" s="170" t="str">
        <f>RTD("cqg.rtd", ,"ContractData",A10, "ContractMonth")</f>
        <v>JAN</v>
      </c>
      <c r="C10" s="176" t="str">
        <f t="shared" si="2"/>
        <v>F6</v>
      </c>
      <c r="D10" s="171" t="str">
        <f t="shared" si="3"/>
        <v>ZSES4F6</v>
      </c>
      <c r="P10" s="172" t="str">
        <f t="shared" si="4"/>
        <v>2</v>
      </c>
      <c r="Q10" s="177" t="str">
        <f>IF(LEFT(RTD("cqg.rtd",,"ContractData",$Q$1&amp;"?"&amp;R43,"Symbol"),LEN($Q$1))=LEFT(RTD("cqg.rtd",,"ContractData",$Q$1&amp;"?"&amp;$R$35,"Symbol"),LEN($Q$1)),RTD("cqg.rtd",,"ContractData",$Q$1&amp;"?"&amp;R43,"Symbol"),NA())</f>
        <v>ZSEF26</v>
      </c>
      <c r="R10" s="178">
        <f>RTD("cqg.rtd", ,"ContractData", Q10, $R$1,,"T")</f>
        <v>1052.25</v>
      </c>
      <c r="S10" s="178">
        <f>RTD("cqg.rtd", ,"ContractData", Q10,$S$1,,"T")</f>
        <v>1051.75</v>
      </c>
      <c r="T10" s="178">
        <f>RTD("cqg.rtd", ,"ContractData", Q10,$T$1,,"T")</f>
        <v>1052.5</v>
      </c>
      <c r="U10" s="175">
        <f>RTD("cqg.rtd", ,"ContractData", "F."&amp;$Q$1&amp;"?9", $U$1,,"T")</f>
        <v>-9.25</v>
      </c>
      <c r="V10" s="172" t="str">
        <f>L2</f>
        <v>ZSES4F6</v>
      </c>
      <c r="W10" s="175" t="str">
        <f>RTD("cqg.rtd", ,"ContractData", V10, $W$1,,"T")</f>
        <v/>
      </c>
      <c r="X10" s="175" t="str">
        <f>RTD("cqg.rtd", ,"ContractData", V10, $X$1,,"T")</f>
        <v/>
      </c>
      <c r="Y10" s="175" t="str">
        <f>RTD("cqg.rtd", ,"ContractData",V10,$Y$1,,"T")</f>
        <v/>
      </c>
      <c r="Z10" s="175" t="str">
        <f>RTD("cqg.rtd", ,"ContractData", V10,$Z$1,,"T")</f>
        <v/>
      </c>
      <c r="AA10" s="175" t="e">
        <f t="shared" si="5"/>
        <v>#VALUE!</v>
      </c>
      <c r="AB10" s="175">
        <f t="shared" si="0"/>
        <v>1052.25</v>
      </c>
      <c r="AC10" s="175">
        <f t="shared" si="10"/>
        <v>1052.25</v>
      </c>
      <c r="AD10" s="175" t="str">
        <f t="shared" si="6"/>
        <v/>
      </c>
      <c r="AF10" s="171">
        <f t="shared" si="7"/>
        <v>1052.25</v>
      </c>
      <c r="AG10" s="171" t="e">
        <f t="shared" si="11"/>
        <v>#N/A</v>
      </c>
      <c r="AH10" s="171">
        <f t="shared" si="8"/>
        <v>0</v>
      </c>
      <c r="AI10" s="171" t="str">
        <f>IFERROR(IF(LEFT(RTD("cqg.rtd",,"ContractData",V10,"LongDescription",,"T"),3)="768","",RIGHT(LEFT(RTD("cqg.rtd", ,"ContractData",V10, "LongDescription",, "T"),LEN(RTD("cqg.rtd", ,"ContractData",V10, "LongDescription",, "T"))-1),LEN(RTD("cqg.rtd", ,"ContractData",V10, "LongDescription",, "T"))-FIND(LEFT(V10,3),RTD("cqg.rtd", ,"ContractData",V10, "LongDescription",, "T"))+2)),"")</f>
        <v>1*ZSEF26-1*ZSEQ26</v>
      </c>
      <c r="AJ10" s="171">
        <f>RTD("cqg.rtd", ,"ContractData",Q10, "Settlement",,"T")</f>
        <v>1061.75</v>
      </c>
      <c r="AK10" s="171">
        <f>RTD("cqg.rtd", ,"ContractData",V10, "Settlement",,"T")</f>
        <v>-10.5</v>
      </c>
      <c r="AL10" s="171">
        <f t="shared" si="9"/>
        <v>1061.75</v>
      </c>
    </row>
    <row r="11" spans="1:38" x14ac:dyDescent="0.2">
      <c r="A11" s="170" t="str">
        <f t="shared" si="1"/>
        <v>ZSEH26</v>
      </c>
      <c r="B11" s="170" t="str">
        <f>RTD("cqg.rtd", ,"ContractData",A11, "ContractMonth")</f>
        <v>MAR</v>
      </c>
      <c r="C11" s="176" t="str">
        <f t="shared" si="2"/>
        <v>H6</v>
      </c>
      <c r="D11" s="171" t="str">
        <f t="shared" si="3"/>
        <v>ZSES4H6</v>
      </c>
      <c r="P11" s="172" t="str">
        <f t="shared" si="4"/>
        <v>2</v>
      </c>
      <c r="Q11" s="177" t="str">
        <f>IF(LEFT(RTD("cqg.rtd",,"ContractData",$Q$1&amp;"?"&amp;R44,"Symbol"),LEN($Q$1))=LEFT(RTD("cqg.rtd",,"ContractData",$Q$1&amp;"?"&amp;$R$35,"Symbol"),LEN($Q$1)),RTD("cqg.rtd",,"ContractData",$Q$1&amp;"?"&amp;R44,"Symbol"),NA())</f>
        <v>ZSEH26</v>
      </c>
      <c r="R11" s="178">
        <f>RTD("cqg.rtd", ,"ContractData", Q11, $R$1,,"T")</f>
        <v>1051.75</v>
      </c>
      <c r="S11" s="178">
        <f>RTD("cqg.rtd", ,"ContractData", Q11,$S$1,,"T")</f>
        <v>1051.25</v>
      </c>
      <c r="T11" s="178">
        <f>RTD("cqg.rtd", ,"ContractData", Q11,$T$1,,"T")</f>
        <v>1052.25</v>
      </c>
      <c r="U11" s="175">
        <f>RTD("cqg.rtd", ,"ContractData", "F."&amp;$Q$1&amp;"?10", $U$1,,"T")</f>
        <v>-9.5</v>
      </c>
      <c r="V11" s="172" t="str">
        <f>M2</f>
        <v>ZSES4H6</v>
      </c>
      <c r="W11" s="175" t="str">
        <f>RTD("cqg.rtd", ,"ContractData", V11, $W$1,,"T")</f>
        <v/>
      </c>
      <c r="X11" s="175">
        <f>RTD("cqg.rtd", ,"ContractData", V11, $X$1,,"T")</f>
        <v>29</v>
      </c>
      <c r="Y11" s="175" t="str">
        <f>RTD("cqg.rtd", ,"ContractData",V11,$Y$1,,"T")</f>
        <v/>
      </c>
      <c r="Z11" s="175">
        <f>RTD("cqg.rtd", ,"ContractData", V11,$Z$1,,"T")</f>
        <v>31.25</v>
      </c>
      <c r="AA11" s="175" t="e">
        <f t="shared" si="5"/>
        <v>#VALUE!</v>
      </c>
      <c r="AB11" s="175">
        <f t="shared" si="0"/>
        <v>1051.75</v>
      </c>
      <c r="AC11" s="175">
        <f t="shared" si="10"/>
        <v>1051.75</v>
      </c>
      <c r="AD11" s="175" t="str">
        <f t="shared" si="6"/>
        <v/>
      </c>
      <c r="AF11" s="171">
        <f t="shared" si="7"/>
        <v>1051.75</v>
      </c>
      <c r="AG11" s="171" t="e">
        <f t="shared" si="11"/>
        <v>#N/A</v>
      </c>
      <c r="AH11" s="171">
        <f t="shared" si="8"/>
        <v>0</v>
      </c>
      <c r="AI11" s="171" t="str">
        <f>IFERROR(IF(LEFT(RTD("cqg.rtd",,"ContractData",V11,"LongDescription",,"T"),3)="768","",RIGHT(LEFT(RTD("cqg.rtd", ,"ContractData",V11, "LongDescription",, "T"),LEN(RTD("cqg.rtd", ,"ContractData",V11, "LongDescription",, "T"))-1),LEN(RTD("cqg.rtd", ,"ContractData",V11, "LongDescription",, "T"))-FIND(LEFT(V11,3),RTD("cqg.rtd", ,"ContractData",V11, "LongDescription",, "T"))+2)),"")</f>
        <v>1*ZSEH26-1*ZSEU26</v>
      </c>
      <c r="AJ11" s="171">
        <f>RTD("cqg.rtd", ,"ContractData",Q11, "Settlement",,"T")</f>
        <v>1061.75</v>
      </c>
      <c r="AK11" s="171">
        <f>RTD("cqg.rtd", ,"ContractData",V11, "Settlement",,"T")</f>
        <v>2.25</v>
      </c>
      <c r="AL11" s="171">
        <f t="shared" si="9"/>
        <v>1061.75</v>
      </c>
    </row>
    <row r="12" spans="1:38" x14ac:dyDescent="0.2">
      <c r="A12" s="170" t="str">
        <f t="shared" si="1"/>
        <v>ZSEK26</v>
      </c>
      <c r="B12" s="170" t="str">
        <f>RTD("cqg.rtd", ,"ContractData",A12, "ContractMonth")</f>
        <v>MAY</v>
      </c>
      <c r="C12" s="176" t="str">
        <f t="shared" si="2"/>
        <v>K6</v>
      </c>
      <c r="D12" s="171" t="str">
        <f t="shared" si="3"/>
        <v>ZSES4K6</v>
      </c>
      <c r="P12" s="172" t="str">
        <f t="shared" si="4"/>
        <v>2</v>
      </c>
      <c r="Q12" s="177" t="str">
        <f>IF(LEFT(RTD("cqg.rtd",,"ContractData",$Q$1&amp;"?"&amp;R45,"Symbol"),LEN($Q$1))=LEFT(RTD("cqg.rtd",,"ContractData",$Q$1&amp;"?"&amp;$R$35,"Symbol"),LEN($Q$1)),RTD("cqg.rtd",,"ContractData",$Q$1&amp;"?"&amp;R45,"Symbol"),NA())</f>
        <v>ZSEK26</v>
      </c>
      <c r="R12" s="178">
        <f>RTD("cqg.rtd", ,"ContractData", Q12, $R$1,,"T")</f>
        <v>1064</v>
      </c>
      <c r="S12" s="178">
        <f>RTD("cqg.rtd", ,"ContractData", Q12,$S$1,,"T")</f>
        <v>1056.25</v>
      </c>
      <c r="T12" s="178">
        <f>RTD("cqg.rtd", ,"ContractData", Q12,$T$1,,"T")</f>
        <v>1057.75</v>
      </c>
      <c r="U12" s="175">
        <f>RTD("cqg.rtd", ,"ContractData", "F."&amp;$Q$1&amp;"?11",$U$1,,"T")</f>
        <v>-10</v>
      </c>
      <c r="V12" s="172" t="str">
        <f>N2</f>
        <v>ZSES4K6</v>
      </c>
      <c r="W12" s="175" t="str">
        <f>RTD("cqg.rtd", ,"ContractData", V12, $W$1,,"T")</f>
        <v/>
      </c>
      <c r="X12" s="175">
        <f>RTD("cqg.rtd", ,"ContractData", V12, $X$1,,"T")</f>
        <v>-1.75</v>
      </c>
      <c r="Y12" s="175">
        <f>RTD("cqg.rtd", ,"ContractData",V12,$Y$1,,"T")</f>
        <v>5.25</v>
      </c>
      <c r="Z12" s="175">
        <f>RTD("cqg.rtd", ,"ContractData", V12,$Z$1,,"T")</f>
        <v>13.75</v>
      </c>
      <c r="AA12" s="175">
        <f t="shared" si="5"/>
        <v>9.5</v>
      </c>
      <c r="AB12" s="175">
        <f t="shared" si="0"/>
        <v>1057</v>
      </c>
      <c r="AC12" s="175">
        <f t="shared" si="10"/>
        <v>1057</v>
      </c>
      <c r="AD12" s="175">
        <f t="shared" si="6"/>
        <v>9.5</v>
      </c>
      <c r="AF12" s="171">
        <f t="shared" si="7"/>
        <v>1057</v>
      </c>
      <c r="AG12" s="171">
        <f t="shared" si="11"/>
        <v>9.5</v>
      </c>
      <c r="AH12" s="171">
        <f t="shared" si="8"/>
        <v>0</v>
      </c>
      <c r="AI12" s="171" t="str">
        <f>IFERROR(IF(LEFT(RTD("cqg.rtd",,"ContractData",V12,"LongDescription",,"T"),3)="768","",RIGHT(LEFT(RTD("cqg.rtd", ,"ContractData",V12, "LongDescription",, "T"),LEN(RTD("cqg.rtd", ,"ContractData",V12, "LongDescription",, "T"))-1),LEN(RTD("cqg.rtd", ,"ContractData",V12, "LongDescription",, "T"))-FIND(LEFT(V12,3),RTD("cqg.rtd", ,"ContractData",V12, "LongDescription",, "T"))+2)),"")</f>
        <v>1*ZSEK26-1*ZSEX26</v>
      </c>
      <c r="AJ12" s="171">
        <f>RTD("cqg.rtd", ,"ContractData",Q12, "Settlement",,"T")</f>
        <v>1067.75</v>
      </c>
      <c r="AK12" s="171">
        <f>RTD("cqg.rtd", ,"ContractData",V12, "Settlement",,"T")</f>
        <v>7</v>
      </c>
      <c r="AL12" s="171">
        <f t="shared" si="9"/>
        <v>1067.75</v>
      </c>
    </row>
    <row r="13" spans="1:38" x14ac:dyDescent="0.2">
      <c r="A13" s="170" t="str">
        <f t="shared" si="1"/>
        <v>ZSEN26</v>
      </c>
      <c r="B13" s="170" t="str">
        <f>RTD("cqg.rtd", ,"ContractData",A13, "ContractMonth")</f>
        <v>JUL</v>
      </c>
      <c r="C13" s="176" t="str">
        <f t="shared" si="2"/>
        <v>N6</v>
      </c>
      <c r="D13" s="171" t="str">
        <f t="shared" si="3"/>
        <v>ZSES4N6</v>
      </c>
      <c r="P13" s="172" t="str">
        <f t="shared" si="4"/>
        <v>2</v>
      </c>
      <c r="Q13" s="177" t="str">
        <f>IF(LEFT(RTD("cqg.rtd",,"ContractData",$Q$1&amp;"?"&amp;R46,"Symbol"),LEN($Q$1))=LEFT(RTD("cqg.rtd",,"ContractData",$Q$1&amp;"?"&amp;$R$35,"Symbol"),LEN($Q$1)),RTD("cqg.rtd",,"ContractData",$Q$1&amp;"?"&amp;R46,"Symbol"),NA())</f>
        <v>ZSEN26</v>
      </c>
      <c r="R13" s="178">
        <f>RTD("cqg.rtd", ,"ContractData", Q13, $R$1,,"T")</f>
        <v>1065.75</v>
      </c>
      <c r="S13" s="178">
        <f>RTD("cqg.rtd", ,"ContractData", Q13,$S$1,,"T")</f>
        <v>1063.5</v>
      </c>
      <c r="T13" s="178">
        <f>RTD("cqg.rtd", ,"ContractData", Q13,$T$1,,"T")</f>
        <v>1065.5</v>
      </c>
      <c r="U13" s="175">
        <f>RTD("cqg.rtd", ,"ContractData", "F."&amp;$Q$1&amp;"?12",$U$1,,"T")</f>
        <v>-12.25</v>
      </c>
      <c r="V13" s="172" t="str">
        <f>O2</f>
        <v>ZSES4N6</v>
      </c>
      <c r="W13" s="175" t="str">
        <f>RTD("cqg.rtd", ,"ContractData", V13, $W$1,,"T")</f>
        <v/>
      </c>
      <c r="X13" s="175" t="str">
        <f>RTD("cqg.rtd", ,"ContractData", V13, $X$1,,"T")</f>
        <v/>
      </c>
      <c r="Y13" s="175" t="str">
        <f>RTD("cqg.rtd", ,"ContractData",V13,$Y$1,,"T")</f>
        <v/>
      </c>
      <c r="Z13" s="175" t="str">
        <f>RTD("cqg.rtd", ,"ContractData", V13,$Z$1,,"T")</f>
        <v/>
      </c>
      <c r="AA13" s="175" t="e">
        <f t="shared" si="5"/>
        <v>#VALUE!</v>
      </c>
      <c r="AB13" s="175">
        <f t="shared" si="0"/>
        <v>1064.5</v>
      </c>
      <c r="AC13" s="175">
        <f t="shared" si="10"/>
        <v>1064.5</v>
      </c>
      <c r="AD13" s="175" t="str">
        <f t="shared" si="6"/>
        <v/>
      </c>
      <c r="AF13" s="171">
        <f t="shared" si="7"/>
        <v>1064.5</v>
      </c>
      <c r="AG13" s="171" t="e">
        <f t="shared" si="11"/>
        <v>#N/A</v>
      </c>
      <c r="AH13" s="171">
        <f t="shared" si="8"/>
        <v>0</v>
      </c>
      <c r="AI13" s="171" t="str">
        <f>IFERROR(IF(LEFT(RTD("cqg.rtd",,"ContractData",V13,"LongDescription",,"T"),3)="768","",RIGHT(LEFT(RTD("cqg.rtd", ,"ContractData",V13, "LongDescription",, "T"),LEN(RTD("cqg.rtd", ,"ContractData",V13, "LongDescription",, "T"))-1),LEN(RTD("cqg.rtd", ,"ContractData",V13, "LongDescription",, "T"))-FIND(LEFT(V13,3),RTD("cqg.rtd", ,"ContractData",V13, "LongDescription",, "T"))+2)),"")</f>
        <v>1*ZSEN26-1*ZSEF27</v>
      </c>
      <c r="AJ13" s="171">
        <f>RTD("cqg.rtd", ,"ContractData",Q13, "Settlement",,"T")</f>
        <v>1075.75</v>
      </c>
      <c r="AK13" s="171" t="str">
        <f>RTD("cqg.rtd", ,"ContractData",V13, "Settlement",,"T")</f>
        <v/>
      </c>
      <c r="AL13" s="171">
        <f t="shared" si="9"/>
        <v>1075.75</v>
      </c>
    </row>
    <row r="14" spans="1:38" x14ac:dyDescent="0.2"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</row>
    <row r="15" spans="1:38" x14ac:dyDescent="0.2">
      <c r="E15" s="171" t="b">
        <v>0</v>
      </c>
      <c r="F15" s="171" t="s">
        <v>33</v>
      </c>
      <c r="G15" s="171" t="s">
        <v>34</v>
      </c>
      <c r="P15" s="172"/>
      <c r="Q15" s="172"/>
      <c r="R15" s="172"/>
      <c r="S15" s="172"/>
      <c r="T15" s="172"/>
      <c r="U15" s="172"/>
    </row>
    <row r="16" spans="1:38" x14ac:dyDescent="0.2">
      <c r="A16" s="171">
        <f>Main!K4</f>
        <v>10</v>
      </c>
      <c r="B16" s="171">
        <f>Main!L4</f>
        <v>15</v>
      </c>
      <c r="C16" s="171">
        <f>Main!M4</f>
        <v>2024</v>
      </c>
      <c r="D16" s="171" t="str">
        <f>Main!M5</f>
        <v>D</v>
      </c>
      <c r="E16" s="179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991</v>
      </c>
      <c r="G16" s="179">
        <f>IFERROR(AF2-E16,"")</f>
        <v>24.25</v>
      </c>
      <c r="I16" s="171" t="str">
        <f>$Q$1&amp;"?"&amp;R35</f>
        <v>ZSE?1</v>
      </c>
      <c r="J16" s="171" t="str">
        <f>$Q$1&amp;"S4??"&amp;R35</f>
        <v>ZSES4??1</v>
      </c>
      <c r="K16" s="171">
        <f>IF(LEFT(M16,3)="768",NA(),RTD("cqg.rtd",,"StudyData", "Close("&amp;$J16&amp;")when (LocalMonth("&amp;$J16&amp;")="&amp;$A$16&amp;" and LocalDay("&amp;$J16&amp;")="&amp;$B$16&amp;" and LocalYear("&amp;$J16&amp;")="&amp;$C$16&amp;")", "Bar", "", "Close",$D$16, "0","ALL","", "",$E$15,$F$15))</f>
        <v>-50.25</v>
      </c>
      <c r="L16" s="171">
        <f>TEXT(IFERROR(AG2-K16,""),$E$29)*1</f>
        <v>1.1200000000000001</v>
      </c>
      <c r="M16" s="171" t="str">
        <f>RTD("cqg.rtd", ,"ContractData", J16,"Symbol",,"T")</f>
        <v>ZSES4X24</v>
      </c>
    </row>
    <row r="17" spans="5:29" x14ac:dyDescent="0.2">
      <c r="E17" s="179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1003.5</v>
      </c>
      <c r="G17" s="179">
        <f t="shared" ref="G17:G27" si="12">IFERROR(AF3-E17,"")</f>
        <v>23.75</v>
      </c>
      <c r="I17" s="171" t="str">
        <f t="shared" ref="I17:I27" si="13">$Q$1&amp;"?"&amp;R36</f>
        <v>ZSE?2</v>
      </c>
      <c r="J17" s="171" t="str">
        <f t="shared" ref="J17:J27" si="14">$Q$1&amp;"S4??"&amp;R36</f>
        <v>ZSES4??2</v>
      </c>
      <c r="K17" s="171">
        <f>IF(LEFT(M17,3)="768",NA(),RTD("cqg.rtd",,"StudyData", "Close("&amp;$J17&amp;")when (LocalMonth("&amp;$J17&amp;")="&amp;$A$16&amp;" and LocalDay("&amp;$J17&amp;")="&amp;$B$16&amp;" and LocalYear("&amp;$J17&amp;")="&amp;$C$16&amp;")", "Bar", "", "Close",$D$16, "0","ALL","", "",$E$15,$F$15))</f>
        <v>-38</v>
      </c>
      <c r="L17" s="171">
        <f t="shared" ref="L17:L27" si="15">TEXT(IFERROR(AG3-K17,""),$E$29)*1</f>
        <v>4.75</v>
      </c>
      <c r="M17" s="171" t="str">
        <f>RTD("cqg.rtd", ,"ContractData", J17,"Symbol",,"T")</f>
        <v>ZSES4F25</v>
      </c>
      <c r="AB17" s="179"/>
      <c r="AC17" s="179"/>
    </row>
    <row r="18" spans="5:29" x14ac:dyDescent="0.2">
      <c r="E18" s="179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1016.75</v>
      </c>
      <c r="G18" s="179">
        <f t="shared" si="12"/>
        <v>22.25</v>
      </c>
      <c r="I18" s="171" t="str">
        <f t="shared" si="13"/>
        <v>ZSE?3</v>
      </c>
      <c r="J18" s="171" t="str">
        <f t="shared" si="14"/>
        <v>ZSES4??3</v>
      </c>
      <c r="K18" s="171">
        <f>IF(LEFT(M18,3)="768",NA(),RTD("cqg.rtd",,"StudyData", "Close("&amp;$J18&amp;")when (LocalMonth("&amp;$J18&amp;")="&amp;$A$16&amp;" and LocalDay("&amp;$J18&amp;")="&amp;$B$16&amp;" and LocalYear("&amp;$J18&amp;")="&amp;$C$16&amp;")", "Bar", "", "Close",$D$16, "0","ALL","", "",$E$15,$F$15))</f>
        <v>-16.5</v>
      </c>
      <c r="L18" s="171">
        <f t="shared" si="15"/>
        <v>10.25</v>
      </c>
      <c r="M18" s="171" t="str">
        <f>RTD("cqg.rtd", ,"ContractData", J18,"Symbol",,"T")</f>
        <v>ZSES4H25</v>
      </c>
      <c r="AB18" s="179"/>
      <c r="AC18" s="179"/>
    </row>
    <row r="19" spans="5:29" x14ac:dyDescent="0.2">
      <c r="E19" s="179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1030.5</v>
      </c>
      <c r="G19" s="179">
        <f t="shared" si="12"/>
        <v>20.75</v>
      </c>
      <c r="I19" s="171" t="str">
        <f t="shared" si="13"/>
        <v>ZSE?4</v>
      </c>
      <c r="J19" s="171" t="str">
        <f t="shared" si="14"/>
        <v>ZSES4??4</v>
      </c>
      <c r="K19" s="171">
        <f>IF(LEFT(M19,3)="768",NA(),RTD("cqg.rtd",,"StudyData", "Close("&amp;$J19&amp;")when (LocalMonth("&amp;$J19&amp;")="&amp;$A$16&amp;" and LocalDay("&amp;$J19&amp;")="&amp;$B$16&amp;" and LocalYear("&amp;$J19&amp;")="&amp;$C$16&amp;")", "Bar", "", "Close",$D$16, "0","ALL","", "",$E$15,$F$15))</f>
        <v>-5.25</v>
      </c>
      <c r="L19" s="171">
        <f t="shared" si="15"/>
        <v>13.75</v>
      </c>
      <c r="M19" s="171" t="str">
        <f>RTD("cqg.rtd", ,"ContractData", J19,"Symbol",,"T")</f>
        <v>ZSES4K25</v>
      </c>
      <c r="AB19" s="179"/>
      <c r="AC19" s="179"/>
    </row>
    <row r="20" spans="5:29" x14ac:dyDescent="0.2">
      <c r="E20" s="179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1041.25</v>
      </c>
      <c r="G20" s="179">
        <f t="shared" si="12"/>
        <v>21.25</v>
      </c>
      <c r="I20" s="171" t="str">
        <f t="shared" si="13"/>
        <v>ZSE?5</v>
      </c>
      <c r="J20" s="171" t="str">
        <f t="shared" si="14"/>
        <v>ZSES4??5</v>
      </c>
      <c r="K20" s="171">
        <f>IF(LEFT(M20,3)="768",NA(),RTD("cqg.rtd",,"StudyData", "Close("&amp;$J20&amp;")when (LocalMonth("&amp;$J20&amp;")="&amp;$A$16&amp;" and LocalDay("&amp;$J20&amp;")="&amp;$B$16&amp;" and LocalYear("&amp;$J20&amp;")="&amp;$C$16&amp;")", "Bar", "", "Close",$D$16, "0","ALL","", "",$E$15,$F$15))</f>
        <v>-6</v>
      </c>
      <c r="L20" s="171">
        <f t="shared" si="15"/>
        <v>16.38</v>
      </c>
      <c r="M20" s="171" t="str">
        <f>RTD("cqg.rtd", ,"ContractData", J20,"Symbol",,"T")</f>
        <v>ZSES4N25</v>
      </c>
      <c r="U20" s="180"/>
      <c r="V20" s="180"/>
      <c r="AB20" s="179"/>
      <c r="AC20" s="179"/>
    </row>
    <row r="21" spans="5:29" x14ac:dyDescent="0.2">
      <c r="E21" s="179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1041.5</v>
      </c>
      <c r="G21" s="179">
        <f t="shared" si="12"/>
        <v>19</v>
      </c>
      <c r="I21" s="171" t="str">
        <f t="shared" si="13"/>
        <v>ZSE?6</v>
      </c>
      <c r="J21" s="171" t="str">
        <f t="shared" si="14"/>
        <v>ZSES4??6</v>
      </c>
      <c r="K21" s="171">
        <f>IF(LEFT(M21,3)="768",NA(),RTD("cqg.rtd",,"StudyData", "Close("&amp;$J21&amp;")when (LocalMonth("&amp;$J21&amp;")="&amp;$A$16&amp;" and LocalDay("&amp;$J21&amp;")="&amp;$B$16&amp;" and LocalYear("&amp;$J21&amp;")="&amp;$C$16&amp;")", "Bar", "", "Close",$D$16, "0","ALL","", "",$E$15,$F$15))</f>
        <v>-9.25</v>
      </c>
      <c r="L21" s="171">
        <f t="shared" si="15"/>
        <v>17.88</v>
      </c>
      <c r="M21" s="171" t="str">
        <f>RTD("cqg.rtd", ,"ContractData", J21,"Symbol",,"T")</f>
        <v>ZSES4Q25</v>
      </c>
      <c r="T21" s="179"/>
      <c r="U21" s="179"/>
      <c r="V21" s="179"/>
      <c r="X21" s="179"/>
      <c r="Y21" s="179"/>
      <c r="Z21" s="179"/>
      <c r="AB21" s="179"/>
      <c r="AC21" s="179"/>
    </row>
    <row r="22" spans="5:29" x14ac:dyDescent="0.2">
      <c r="E22" s="179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1033.25</v>
      </c>
      <c r="G22" s="179">
        <f t="shared" si="12"/>
        <v>12</v>
      </c>
      <c r="I22" s="171" t="str">
        <f t="shared" si="13"/>
        <v>ZSE?7</v>
      </c>
      <c r="J22" s="171" t="str">
        <f t="shared" si="14"/>
        <v>ZSES4??7</v>
      </c>
      <c r="K22" s="171">
        <f>IF(LEFT(M22,3)="768",NA(),RTD("cqg.rtd",,"StudyData", "Close("&amp;$J22&amp;")when (LocalMonth("&amp;$J22&amp;")="&amp;$A$16&amp;" and LocalDay("&amp;$J22&amp;")="&amp;$B$16&amp;" and LocalYear("&amp;$J22&amp;")="&amp;$C$16&amp;")", "Bar", "", "Close",$D$16, "0","ALL","", "",$E$15,$F$15))</f>
        <v>-23.75</v>
      </c>
      <c r="L22" s="171">
        <f t="shared" si="15"/>
        <v>11.87</v>
      </c>
      <c r="M22" s="171" t="str">
        <f>RTD("cqg.rtd", ,"ContractData", J22,"Symbol",,"T")</f>
        <v>ZSES4U25</v>
      </c>
      <c r="T22" s="179"/>
      <c r="U22" s="179"/>
      <c r="V22" s="179"/>
      <c r="X22" s="179"/>
      <c r="Y22" s="179"/>
      <c r="Z22" s="179"/>
      <c r="AB22" s="179"/>
      <c r="AC22" s="179"/>
    </row>
    <row r="23" spans="5:29" x14ac:dyDescent="0.2">
      <c r="E23" s="179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1035.75</v>
      </c>
      <c r="G23" s="179">
        <f t="shared" si="12"/>
        <v>7.25</v>
      </c>
      <c r="I23" s="171" t="str">
        <f t="shared" si="13"/>
        <v>ZSE?8</v>
      </c>
      <c r="J23" s="171" t="str">
        <f t="shared" si="14"/>
        <v>ZSES4??8</v>
      </c>
      <c r="K23" s="171">
        <f>IF(LEFT(M23,3)="768",NA(),RTD("cqg.rtd",,"StudyData", "Close("&amp;$J23&amp;")when (LocalMonth("&amp;$J23&amp;")="&amp;$A$16&amp;" and LocalDay("&amp;$J23&amp;")="&amp;$B$16&amp;" and LocalYear("&amp;$J23&amp;")="&amp;$C$16&amp;")", "Bar", "", "Close",$D$16, "0","ALL","", "",$E$15,$F$15))</f>
        <v>-29</v>
      </c>
      <c r="L23" s="171">
        <f t="shared" si="15"/>
        <v>6.75</v>
      </c>
      <c r="M23" s="171" t="str">
        <f>RTD("cqg.rtd", ,"ContractData", J23,"Symbol",,"T")</f>
        <v>ZSES4X25</v>
      </c>
      <c r="T23" s="179"/>
      <c r="U23" s="179"/>
      <c r="V23" s="179"/>
      <c r="X23" s="179"/>
      <c r="Y23" s="179"/>
      <c r="Z23" s="179"/>
      <c r="AB23" s="179"/>
      <c r="AC23" s="179"/>
    </row>
    <row r="24" spans="5:29" x14ac:dyDescent="0.2">
      <c r="E24" s="179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1047.25</v>
      </c>
      <c r="G24" s="179">
        <f t="shared" si="12"/>
        <v>5</v>
      </c>
      <c r="I24" s="171" t="str">
        <f t="shared" si="13"/>
        <v>ZSE?9</v>
      </c>
      <c r="J24" s="171" t="str">
        <f t="shared" si="14"/>
        <v>ZSES4??9</v>
      </c>
      <c r="K24" s="171">
        <f>IF(LEFT(M24,3)="768",NA(),RTD("cqg.rtd",,"StudyData", "Close("&amp;$J24&amp;")when (LocalMonth("&amp;$J24&amp;")="&amp;$A$16&amp;" and LocalDay("&amp;$J24&amp;")="&amp;$B$16&amp;" and LocalYear("&amp;$J24&amp;")="&amp;$C$16&amp;")", "Bar", "", "Close",$D$16, "0","ALL","", "",$E$15,$F$15))</f>
        <v>-12</v>
      </c>
      <c r="L24" s="171" t="e">
        <f t="shared" si="15"/>
        <v>#VALUE!</v>
      </c>
      <c r="M24" s="171" t="str">
        <f>RTD("cqg.rtd", ,"ContractData", J24,"Symbol",,"T")</f>
        <v>ZSES4F26</v>
      </c>
      <c r="T24" s="179"/>
      <c r="U24" s="179"/>
      <c r="V24" s="179"/>
      <c r="X24" s="179"/>
      <c r="Y24" s="179"/>
      <c r="Z24" s="179"/>
      <c r="AB24" s="179"/>
      <c r="AC24" s="179"/>
    </row>
    <row r="25" spans="5:29" x14ac:dyDescent="0.2">
      <c r="E25" s="179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1050.75</v>
      </c>
      <c r="G25" s="179">
        <f t="shared" si="12"/>
        <v>1</v>
      </c>
      <c r="I25" s="171" t="str">
        <f t="shared" si="13"/>
        <v>ZSE?10</v>
      </c>
      <c r="J25" s="171" t="str">
        <f t="shared" si="14"/>
        <v>ZSES4??10</v>
      </c>
      <c r="K25" s="171">
        <f>IF(LEFT(M25,3)="768",NA(),RTD("cqg.rtd",,"StudyData", "Close("&amp;$J25&amp;")when (LocalMonth("&amp;$J25&amp;")="&amp;$A$16&amp;" and LocalDay("&amp;$J25&amp;")="&amp;$B$16&amp;" and LocalYear("&amp;$J25&amp;")="&amp;$C$16&amp;")", "Bar", "", "Close",$D$16, "0","ALL","", "",$E$15,$F$15))</f>
        <v>2.75</v>
      </c>
      <c r="L25" s="171" t="e">
        <f t="shared" si="15"/>
        <v>#VALUE!</v>
      </c>
      <c r="M25" s="171" t="str">
        <f>RTD("cqg.rtd", ,"ContractData", J25,"Symbol",,"T")</f>
        <v>ZSES4H26</v>
      </c>
      <c r="T25" s="179"/>
      <c r="U25" s="179"/>
      <c r="V25" s="179"/>
      <c r="X25" s="179"/>
      <c r="Y25" s="179"/>
      <c r="Z25" s="179"/>
    </row>
    <row r="26" spans="5:29" x14ac:dyDescent="0.2">
      <c r="E26" s="179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1057</v>
      </c>
      <c r="G26" s="179">
        <f t="shared" si="12"/>
        <v>0</v>
      </c>
      <c r="I26" s="171" t="str">
        <f t="shared" si="13"/>
        <v>ZSE?11</v>
      </c>
      <c r="J26" s="171" t="str">
        <f t="shared" si="14"/>
        <v>ZSES4??11</v>
      </c>
      <c r="K26" s="171">
        <f>IF(LEFT(M26,3)="768",NA(),RTD("cqg.rtd",,"StudyData", "Close("&amp;$J26&amp;")when (LocalMonth("&amp;$J26&amp;")="&amp;$A$16&amp;" and LocalDay("&amp;$J26&amp;")="&amp;$B$16&amp;" and LocalYear("&amp;$J26&amp;")="&amp;$C$16&amp;")", "Bar", "", "Close",$D$16, "0","ALL","", "",$E$15,$F$15))</f>
        <v>6.5</v>
      </c>
      <c r="L26" s="171">
        <f t="shared" si="15"/>
        <v>3</v>
      </c>
      <c r="M26" s="171" t="str">
        <f>RTD("cqg.rtd", ,"ContractData", J26,"Symbol",,"T")</f>
        <v>ZSES4K26</v>
      </c>
      <c r="T26" s="179"/>
      <c r="U26" s="179"/>
      <c r="V26" s="179"/>
      <c r="X26" s="179"/>
      <c r="Y26" s="179"/>
      <c r="Z26" s="179"/>
    </row>
    <row r="27" spans="5:29" x14ac:dyDescent="0.2">
      <c r="E27" s="179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1064.75</v>
      </c>
      <c r="G27" s="179">
        <f t="shared" si="12"/>
        <v>-0.25</v>
      </c>
      <c r="I27" s="171" t="str">
        <f t="shared" si="13"/>
        <v>ZSE?12</v>
      </c>
      <c r="J27" s="171" t="str">
        <f t="shared" si="14"/>
        <v>ZSES4??12</v>
      </c>
      <c r="K27" s="171" t="str">
        <f>IF(LEFT(M27,3)="768",NA(),RTD("cqg.rtd",,"StudyData", "Close("&amp;$J27&amp;")when (LocalMonth("&amp;$J27&amp;")="&amp;$A$16&amp;" and LocalDay("&amp;$J27&amp;")="&amp;$B$16&amp;" and LocalYear("&amp;$J27&amp;")="&amp;$C$16&amp;")", "Bar", "", "Close",$D$16, "0","ALL","", "",$E$15,$F$15))</f>
        <v/>
      </c>
      <c r="L27" s="171" t="e">
        <f t="shared" si="15"/>
        <v>#VALUE!</v>
      </c>
      <c r="M27" s="171" t="str">
        <f>RTD("cqg.rtd", ,"ContractData", J27,"Symbol",,"T")</f>
        <v>ZSES4N26</v>
      </c>
      <c r="T27" s="179"/>
      <c r="U27" s="179"/>
      <c r="V27" s="179"/>
      <c r="X27" s="179"/>
      <c r="Y27" s="179"/>
      <c r="Z27" s="179"/>
    </row>
    <row r="28" spans="5:29" x14ac:dyDescent="0.2">
      <c r="T28" s="179"/>
      <c r="U28" s="179"/>
      <c r="V28" s="179"/>
      <c r="X28" s="179"/>
      <c r="Y28" s="179"/>
      <c r="Z28" s="179"/>
    </row>
    <row r="29" spans="5:29" x14ac:dyDescent="0.2">
      <c r="E29" s="179" t="str">
        <f>Main!$D$1</f>
        <v>#.00</v>
      </c>
      <c r="T29" s="179"/>
      <c r="U29" s="179"/>
      <c r="V29" s="179"/>
      <c r="X29" s="179"/>
      <c r="Y29" s="179"/>
      <c r="Z29" s="179"/>
    </row>
    <row r="30" spans="5:29" x14ac:dyDescent="0.2">
      <c r="T30" s="179"/>
      <c r="U30" s="179"/>
      <c r="V30" s="179"/>
      <c r="X30" s="179"/>
      <c r="Y30" s="179"/>
      <c r="Z30" s="179"/>
    </row>
    <row r="31" spans="5:29" x14ac:dyDescent="0.2">
      <c r="R31" s="171" t="s">
        <v>42</v>
      </c>
      <c r="T31" s="179"/>
      <c r="U31" s="179"/>
      <c r="V31" s="179"/>
      <c r="X31" s="179"/>
      <c r="Y31" s="179"/>
      <c r="Z31" s="179"/>
    </row>
    <row r="32" spans="5:29" x14ac:dyDescent="0.2">
      <c r="T32" s="179"/>
      <c r="U32" s="179"/>
      <c r="V32" s="179"/>
      <c r="X32" s="179"/>
      <c r="Y32" s="179"/>
      <c r="Z32" s="179"/>
    </row>
    <row r="33" spans="18:26" x14ac:dyDescent="0.2">
      <c r="T33" s="179"/>
      <c r="U33" s="179"/>
      <c r="V33" s="179"/>
    </row>
    <row r="34" spans="18:26" x14ac:dyDescent="0.2">
      <c r="R34" s="171" t="s">
        <v>6</v>
      </c>
      <c r="T34" s="179"/>
      <c r="U34" s="179"/>
      <c r="V34" s="179"/>
      <c r="X34" s="179"/>
      <c r="Y34" s="179"/>
      <c r="Z34" s="171" t="s">
        <v>17</v>
      </c>
    </row>
    <row r="35" spans="18:26" x14ac:dyDescent="0.2">
      <c r="R35" s="171">
        <v>1</v>
      </c>
      <c r="S35" s="171" t="str">
        <f>RTD("cqg.rtd",,"ContractData",Q1&amp;"?1", "Symbol")</f>
        <v>ZSEX24</v>
      </c>
      <c r="T35" s="179"/>
      <c r="U35" s="179"/>
      <c r="V35" s="179"/>
      <c r="X35" s="179"/>
      <c r="Y35" s="179"/>
      <c r="Z35" s="171" t="s">
        <v>18</v>
      </c>
    </row>
    <row r="36" spans="18:26" x14ac:dyDescent="0.2">
      <c r="R36" s="171">
        <f>R35+1</f>
        <v>2</v>
      </c>
      <c r="S36" s="171" t="str">
        <f>RTD("cqg.rtd",,"ContractData",Q1&amp;"?2", "Symbol")</f>
        <v>ZSEF25</v>
      </c>
      <c r="T36" s="179"/>
      <c r="U36" s="179"/>
      <c r="V36" s="179"/>
      <c r="X36" s="179"/>
      <c r="Y36" s="179"/>
      <c r="Z36" s="171" t="s">
        <v>19</v>
      </c>
    </row>
    <row r="37" spans="18:26" x14ac:dyDescent="0.2">
      <c r="R37" s="171">
        <f t="shared" ref="R37:R46" si="16">R36+1</f>
        <v>3</v>
      </c>
      <c r="T37" s="179"/>
      <c r="U37" s="179"/>
      <c r="V37" s="179"/>
      <c r="X37" s="179"/>
      <c r="Y37" s="179"/>
      <c r="Z37" s="171" t="s">
        <v>20</v>
      </c>
    </row>
    <row r="38" spans="18:26" x14ac:dyDescent="0.2">
      <c r="R38" s="171">
        <f t="shared" si="16"/>
        <v>4</v>
      </c>
      <c r="T38" s="179"/>
      <c r="U38" s="179"/>
      <c r="V38" s="179"/>
      <c r="X38" s="179"/>
      <c r="Y38" s="179"/>
      <c r="Z38" s="171" t="s">
        <v>21</v>
      </c>
    </row>
    <row r="39" spans="18:26" x14ac:dyDescent="0.2">
      <c r="R39" s="171">
        <f t="shared" si="16"/>
        <v>5</v>
      </c>
      <c r="T39" s="179"/>
      <c r="U39" s="179"/>
      <c r="V39" s="179"/>
      <c r="X39" s="179"/>
      <c r="Y39" s="179"/>
      <c r="Z39" s="171" t="s">
        <v>22</v>
      </c>
    </row>
    <row r="40" spans="18:26" x14ac:dyDescent="0.2">
      <c r="R40" s="171">
        <f t="shared" si="16"/>
        <v>6</v>
      </c>
      <c r="T40" s="179"/>
      <c r="U40" s="179"/>
      <c r="V40" s="179"/>
      <c r="X40" s="179"/>
      <c r="Y40" s="179"/>
      <c r="Z40" s="171" t="s">
        <v>23</v>
      </c>
    </row>
    <row r="41" spans="18:26" x14ac:dyDescent="0.2">
      <c r="R41" s="171">
        <f t="shared" si="16"/>
        <v>7</v>
      </c>
      <c r="T41" s="179"/>
      <c r="U41" s="179"/>
      <c r="V41" s="179"/>
      <c r="X41" s="179"/>
      <c r="Y41" s="179"/>
      <c r="Z41" s="171" t="s">
        <v>24</v>
      </c>
    </row>
    <row r="42" spans="18:26" x14ac:dyDescent="0.2">
      <c r="R42" s="171">
        <f t="shared" si="16"/>
        <v>8</v>
      </c>
      <c r="T42" s="179"/>
      <c r="U42" s="179"/>
      <c r="V42" s="179"/>
      <c r="X42" s="179"/>
      <c r="Y42" s="179"/>
      <c r="Z42" s="171" t="s">
        <v>25</v>
      </c>
    </row>
    <row r="43" spans="18:26" x14ac:dyDescent="0.2">
      <c r="R43" s="171">
        <f t="shared" si="16"/>
        <v>9</v>
      </c>
      <c r="T43" s="179"/>
      <c r="U43" s="179"/>
      <c r="V43" s="179"/>
      <c r="X43" s="179"/>
      <c r="Y43" s="179"/>
      <c r="Z43" s="171" t="s">
        <v>26</v>
      </c>
    </row>
    <row r="44" spans="18:26" x14ac:dyDescent="0.2">
      <c r="R44" s="171">
        <f t="shared" si="16"/>
        <v>10</v>
      </c>
      <c r="T44" s="179"/>
      <c r="U44" s="179"/>
      <c r="V44" s="179"/>
    </row>
    <row r="45" spans="18:26" x14ac:dyDescent="0.2">
      <c r="R45" s="171">
        <f t="shared" si="16"/>
        <v>11</v>
      </c>
    </row>
    <row r="46" spans="18:26" x14ac:dyDescent="0.2">
      <c r="R46" s="171">
        <f t="shared" si="16"/>
        <v>12</v>
      </c>
      <c r="Z46" s="179"/>
    </row>
  </sheetData>
  <sheetProtection algorithmName="SHA-512" hashValue="qnBFIuQ8ZU4KdWsQGzRZMJefUhkJ9HyKqlQ8gEXNVDtUv77tQVIq6O18grfdnRgWWUI+0Q/1/WvEFkjo6CpqIA==" saltValue="2Pcz//UXbWzqjDUnFFtHa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6"/>
  <sheetViews>
    <sheetView workbookViewId="0"/>
  </sheetViews>
  <sheetFormatPr defaultColWidth="9" defaultRowHeight="14.25" x14ac:dyDescent="0.2"/>
  <cols>
    <col min="1" max="17" width="9" style="171"/>
    <col min="18" max="18" width="14.375" style="171" customWidth="1"/>
    <col min="19" max="19" width="9" style="171"/>
    <col min="20" max="20" width="15.25" style="171" customWidth="1"/>
    <col min="21" max="21" width="17.75" style="171" customWidth="1"/>
    <col min="22" max="22" width="11.25" style="171" customWidth="1"/>
    <col min="23" max="23" width="40" style="171" customWidth="1"/>
    <col min="24" max="24" width="12.875" style="171" customWidth="1"/>
    <col min="25" max="16384" width="9" style="171"/>
  </cols>
  <sheetData>
    <row r="1" spans="1:38" x14ac:dyDescent="0.2">
      <c r="A1" s="170"/>
      <c r="B1" s="170"/>
      <c r="C1" s="170" t="s">
        <v>2</v>
      </c>
      <c r="D1" s="171">
        <v>5</v>
      </c>
      <c r="E1" s="171">
        <v>2</v>
      </c>
      <c r="F1" s="171">
        <v>3</v>
      </c>
      <c r="G1" s="171">
        <v>4</v>
      </c>
      <c r="H1" s="171">
        <v>5</v>
      </c>
      <c r="I1" s="171">
        <v>6</v>
      </c>
      <c r="J1" s="171">
        <v>7</v>
      </c>
      <c r="K1" s="171">
        <v>8</v>
      </c>
      <c r="L1" s="171">
        <v>9</v>
      </c>
      <c r="M1" s="171">
        <v>10</v>
      </c>
      <c r="N1" s="171">
        <v>11</v>
      </c>
      <c r="O1" s="171">
        <v>12</v>
      </c>
      <c r="P1" s="172"/>
      <c r="Q1" s="173" t="str">
        <f>Main!$B$4</f>
        <v>ZSE</v>
      </c>
      <c r="R1" s="174" t="s">
        <v>3</v>
      </c>
      <c r="S1" s="174" t="s">
        <v>0</v>
      </c>
      <c r="T1" s="174" t="s">
        <v>1</v>
      </c>
      <c r="U1" s="172" t="s">
        <v>4</v>
      </c>
      <c r="V1" s="172"/>
      <c r="W1" s="174" t="s">
        <v>3</v>
      </c>
      <c r="X1" s="172" t="s">
        <v>4</v>
      </c>
      <c r="Y1" s="174" t="s">
        <v>0</v>
      </c>
      <c r="Z1" s="174" t="s">
        <v>1</v>
      </c>
      <c r="AA1" s="172" t="s">
        <v>5</v>
      </c>
      <c r="AB1" s="172" t="s">
        <v>5</v>
      </c>
      <c r="AC1" s="175"/>
      <c r="AD1" s="172" t="s">
        <v>5</v>
      </c>
    </row>
    <row r="2" spans="1:38" x14ac:dyDescent="0.2">
      <c r="A2" s="170" t="str">
        <f>Q2</f>
        <v>ZSEX24</v>
      </c>
      <c r="B2" s="170" t="str">
        <f>RTD("cqg.rtd", ,"ContractData",A2, "ContractMonth")</f>
        <v>NOV</v>
      </c>
      <c r="C2" s="176" t="str">
        <f>IF(B2="Jan","F",IF(B2="Feb","G",IF(B2="Mar","H",IF(B2="Apr","J",IF(B2="May","K",IF(B2="JUN","M",IF(B2="Jul","N",IF(B2="Aug","Q",IF(B2="Sep","U",IF(B2="Oct","V",IF(B2="Nov","X",IF(B2="Dec","Z"))))))))))))&amp;RIGHT(A2,1)</f>
        <v>X4</v>
      </c>
      <c r="D2" s="171" t="str">
        <f>$Q$1&amp;$C$1&amp;$D$1&amp;$C2</f>
        <v>ZSES5X4</v>
      </c>
      <c r="E2" s="171" t="str">
        <f>$Q$1&amp;$C$1&amp;$D$1&amp;$C3</f>
        <v>ZSES5F5</v>
      </c>
      <c r="F2" s="171" t="str">
        <f>$Q$1&amp;$C$1&amp;$D$1&amp;$C4</f>
        <v>ZSES5H5</v>
      </c>
      <c r="G2" s="171" t="str">
        <f>$Q$1&amp;$C$1&amp;$D$1&amp;$C5</f>
        <v>ZSES5K5</v>
      </c>
      <c r="H2" s="171" t="str">
        <f>$Q$1&amp;$C$1&amp;$D$1&amp;$C6</f>
        <v>ZSES5N5</v>
      </c>
      <c r="I2" s="171" t="str">
        <f>$Q$1&amp;$C$1&amp;$D$1&amp;$C7</f>
        <v>ZSES5Q5</v>
      </c>
      <c r="J2" s="171" t="str">
        <f>$Q$1&amp;$C$1&amp;$D$1&amp;$C8</f>
        <v>ZSES5U5</v>
      </c>
      <c r="K2" s="171" t="str">
        <f>$Q$1&amp;$C$1&amp;$D$1&amp;$C9</f>
        <v>ZSES5X5</v>
      </c>
      <c r="L2" s="171" t="str">
        <f>$Q$1&amp;$C$1&amp;$D$1&amp;$C10</f>
        <v>ZSES5F6</v>
      </c>
      <c r="M2" s="171" t="str">
        <f>$Q$1&amp;$C$1&amp;$D$1&amp;$C11</f>
        <v>ZSES5H6</v>
      </c>
      <c r="N2" s="171" t="str">
        <f>$Q$1&amp;$C$1&amp;$D$1&amp;$C12</f>
        <v>ZSES5K6</v>
      </c>
      <c r="O2" s="171" t="str">
        <f>$Q$1&amp;$C$1&amp;$D$1&amp;$C13</f>
        <v>ZSES5N6</v>
      </c>
      <c r="P2" s="172" t="str">
        <f>LEFT(RIGHT(Q2,2),1)</f>
        <v>2</v>
      </c>
      <c r="Q2" s="177" t="str">
        <f>RTD("cqg.rtd", ,"ContractData", $Q$1&amp;"?"&amp;R35, "Symbol")</f>
        <v>ZSEX24</v>
      </c>
      <c r="R2" s="178">
        <f>RTD("cqg.rtd", ,"ContractData", Q2, $R$1,,"T")</f>
        <v>1017.25</v>
      </c>
      <c r="S2" s="178">
        <f>RTD("cqg.rtd", ,"ContractData", Q2,$S$1,,"T")</f>
        <v>1014.5</v>
      </c>
      <c r="T2" s="178">
        <f>RTD("cqg.rtd", ,"ContractData", Q2,$T$1,,"T")</f>
        <v>1016</v>
      </c>
      <c r="U2" s="175">
        <f>RTD("cqg.rtd", ,"ContractData", "F."&amp;$Q$1&amp;"?1", $U$1,,"T")</f>
        <v>-0.75</v>
      </c>
      <c r="V2" s="172" t="str">
        <f>D2</f>
        <v>ZSES5X4</v>
      </c>
      <c r="W2" s="175" t="str">
        <f>RTD("cqg.rtd", ,"ContractData", V2, $W$1,,"T")</f>
        <v/>
      </c>
      <c r="X2" s="175">
        <f>RTD("cqg.rtd", ,"ContractData", V2, $X$1,,"T")</f>
        <v>7</v>
      </c>
      <c r="Y2" s="175">
        <f>RTD("cqg.rtd", ,"ContractData",V2,$Y$1,,"T")</f>
        <v>-50.5</v>
      </c>
      <c r="Z2" s="175">
        <f>RTD("cqg.rtd", ,"ContractData", V2,$Z$1,,"T")</f>
        <v>-43.5</v>
      </c>
      <c r="AA2" s="175">
        <f>IF(OR(W2="",W2&lt;Y2,W2&gt;Z2),(Y2+Z2)/2,W2)</f>
        <v>-47</v>
      </c>
      <c r="AB2" s="175">
        <f t="shared" ref="AB2:AB13" si="0">IF(OR(S2="",T2=""),R2,(IF(OR(R2="",R2&lt;S2,R2&gt;T2),(S2+T2)/2,R2)))</f>
        <v>1015.25</v>
      </c>
      <c r="AC2" s="175">
        <f>IF(OR(R2="",R2&lt;S2,R2&gt;T2),(S2+T2)/2,R2)</f>
        <v>1015.25</v>
      </c>
      <c r="AD2" s="175">
        <f>IF(OR(Y2="",Z2=""),W2,(IF(OR(W2="",W2&lt;Y2,W2&gt;Z2),(Y2+Z2)/2,W2)))</f>
        <v>-47</v>
      </c>
      <c r="AF2" s="171">
        <f>IF(ISERROR(AC2),NA(),AC2)</f>
        <v>1015.25</v>
      </c>
      <c r="AG2" s="171">
        <f>TEXT(IF(LEFT(AD2,3)="768",NA(),IF(AD2="",NA(),AD2)),$E$29)*1</f>
        <v>-47</v>
      </c>
      <c r="AH2" s="171">
        <f>IF(P2="F","JAN",IF(P2="G","FEB",IF(P2="H","MAR",IF(P2="J","APR",IF(P2="K","MAY",IF(P2="M","JUN",IF(P2="N","JUL",IF(P2="Q","AUG",IF(P2="U","SEP",IF(P2="V","OCT",IF(P2="X","NOV",IF(P2="Z","DEC",))))))))))))</f>
        <v>0</v>
      </c>
      <c r="AI2" s="171" t="str">
        <f>IFERROR(IF(LEFT(RTD("cqg.rtd",,"ContractData",V2,"LongDescription",,"T"),3)="768","",RIGHT(LEFT(RTD("cqg.rtd", ,"ContractData",V2, "LongDescription",, "T"),LEN(RTD("cqg.rtd", ,"ContractData",V2, "LongDescription",, "T"))-1),LEN(RTD("cqg.rtd", ,"ContractData",V2, "LongDescription",, "T"))-FIND(LEFT(V2,3),RTD("cqg.rtd", ,"ContractData",V2, "LongDescription",, "T"))+2)),"")</f>
        <v>1*ZSEX24-1*ZSEQ25</v>
      </c>
      <c r="AJ2" s="171">
        <f>RTD("cqg.rtd", ,"ContractData",Q2, "Settlement",,"T")</f>
        <v>1016.75</v>
      </c>
      <c r="AK2" s="171">
        <f>RTD("cqg.rtd", ,"ContractData",V2, "Settlement",,"T")</f>
        <v>-50.5</v>
      </c>
      <c r="AL2" s="171">
        <f>IF(AJ2="",NA(),AJ2)</f>
        <v>1016.75</v>
      </c>
    </row>
    <row r="3" spans="1:38" x14ac:dyDescent="0.2">
      <c r="A3" s="170" t="str">
        <f t="shared" ref="A3:A13" si="1">Q3</f>
        <v>ZSEF25</v>
      </c>
      <c r="B3" s="170" t="str">
        <f>RTD("cqg.rtd", ,"ContractData",A3, "ContractMonth")</f>
        <v>JAN</v>
      </c>
      <c r="C3" s="176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F5</v>
      </c>
      <c r="D3" s="171" t="str">
        <f t="shared" ref="D3:D13" si="3">$Q$1&amp;$C$1&amp;$D$1&amp;$C3</f>
        <v>ZSES5F5</v>
      </c>
      <c r="P3" s="172" t="str">
        <f t="shared" ref="P3:P13" si="4">LEFT(RIGHT(Q3,2),1)</f>
        <v>2</v>
      </c>
      <c r="Q3" s="177" t="str">
        <f>IF(LEFT(RTD("cqg.rtd",,"ContractData",$Q$1&amp;"?"&amp;R36,"Symbol"),LEN($Q$1))=LEFT(RTD("cqg.rtd",,"ContractData",$Q$1&amp;"?"&amp;$R$35,"Symbol"),LEN($Q$1)),RTD("cqg.rtd",,"ContractData",$Q$1&amp;"?"&amp;R36,"Symbol"),NA())</f>
        <v>ZSEF25</v>
      </c>
      <c r="R3" s="178">
        <f>RTD("cqg.rtd", ,"ContractData", Q3, $R$1,,"T")</f>
        <v>1027.25</v>
      </c>
      <c r="S3" s="178">
        <f>RTD("cqg.rtd", ,"ContractData", Q3,$S$1,,"T")</f>
        <v>1027</v>
      </c>
      <c r="T3" s="178">
        <f>RTD("cqg.rtd", ,"ContractData", Q3,$T$1,,"T")</f>
        <v>1027.25</v>
      </c>
      <c r="U3" s="175">
        <f>RTD("cqg.rtd", ,"ContractData", "F."&amp;$Q$1&amp;"?2",  $U$1,,"T")</f>
        <v>-3</v>
      </c>
      <c r="V3" s="172" t="str">
        <f>E2</f>
        <v>ZSES5F5</v>
      </c>
      <c r="W3" s="175">
        <f>RTD("cqg.rtd", ,"ContractData", V3, $W$1,,"T")</f>
        <v>-18</v>
      </c>
      <c r="X3" s="175">
        <f>RTD("cqg.rtd", ,"ContractData", V3, $X$1,,"T")</f>
        <v>5.25</v>
      </c>
      <c r="Y3" s="175">
        <f>RTD("cqg.rtd", ,"ContractData",V3,$Y$1,,"T")</f>
        <v>-18.5</v>
      </c>
      <c r="Z3" s="175">
        <f>RTD("cqg.rtd", ,"ContractData", V3,$Z$1,,"T")</f>
        <v>-18</v>
      </c>
      <c r="AA3" s="175">
        <f t="shared" ref="AA3:AA13" si="5">IF(OR(W3="",W3&lt;Y3,W3&gt;Z3),(Y3+Z3)/2,W3)</f>
        <v>-18</v>
      </c>
      <c r="AB3" s="175">
        <f t="shared" si="0"/>
        <v>1027.25</v>
      </c>
      <c r="AC3" s="175">
        <f>IF(OR(R3="",R3&lt;S3,R3&gt;T3),(S3+T3)/2,R3)</f>
        <v>1027.25</v>
      </c>
      <c r="AD3" s="175">
        <f t="shared" ref="AD3:AD13" si="6">IF(OR(Y3="",Z3=""),W3,(IF(OR(W3="",W3&lt;Y3,W3&gt;Z3),(Y3+Z3)/2,W3)))</f>
        <v>-18</v>
      </c>
      <c r="AF3" s="171">
        <f t="shared" ref="AF3:AF13" si="7">IF(ISERROR(AC3),NA(),AC3)</f>
        <v>1027.25</v>
      </c>
      <c r="AG3" s="171">
        <f t="shared" ref="AG3:AG13" si="8">TEXT(IF(LEFT(AD3,3)="768",NA(),IF(AD3="",NA(),AD3)),$E$29)*1</f>
        <v>-18</v>
      </c>
      <c r="AH3" s="171">
        <f t="shared" ref="AH3:AH13" si="9">IF(P3="F","JAN",IF(P3="G","FEB",IF(P3="H","MAR",IF(P3="J","APR",IF(P3="K","MAY",IF(P3="M","JUN",IF(P3="N","JUL",IF(P3="Q","AUG",IF(P3="U","SEP",IF(P3="V","OCT",IF(P3="X","NOV",IF(P3="Z","DEC",))))))))))))</f>
        <v>0</v>
      </c>
      <c r="AI3" s="171" t="str">
        <f>IFERROR(IF(LEFT(RTD("cqg.rtd",,"ContractData",V3,"LongDescription",,"T"),3)="768","",RIGHT(LEFT(RTD("cqg.rtd", ,"ContractData",V3, "LongDescription",, "T"),LEN(RTD("cqg.rtd", ,"ContractData",V3, "LongDescription",, "T"))-1),LEN(RTD("cqg.rtd", ,"ContractData",V3, "LongDescription",, "T"))-FIND(LEFT(V3,3),RTD("cqg.rtd", ,"ContractData",V3, "LongDescription",, "T"))+2)),"")</f>
        <v>1*ZSEF25-1*ZSEU25</v>
      </c>
      <c r="AJ3" s="171">
        <f>RTD("cqg.rtd", ,"ContractData",Q3, "Settlement",,"T")</f>
        <v>1030.25</v>
      </c>
      <c r="AK3" s="171">
        <f>RTD("cqg.rtd", ,"ContractData",V3, "Settlement",,"T")</f>
        <v>-23.75</v>
      </c>
      <c r="AL3" s="171">
        <f t="shared" ref="AL3:AL13" si="10">IF(AJ3="",NA(),AJ3)</f>
        <v>1030.25</v>
      </c>
    </row>
    <row r="4" spans="1:38" x14ac:dyDescent="0.2">
      <c r="A4" s="170" t="str">
        <f t="shared" si="1"/>
        <v>ZSEH25</v>
      </c>
      <c r="B4" s="170" t="str">
        <f>RTD("cqg.rtd", ,"ContractData",A4, "ContractMonth")</f>
        <v>MAR</v>
      </c>
      <c r="C4" s="176" t="str">
        <f t="shared" si="2"/>
        <v>H5</v>
      </c>
      <c r="D4" s="171" t="str">
        <f t="shared" si="3"/>
        <v>ZSES5H5</v>
      </c>
      <c r="P4" s="172" t="str">
        <f t="shared" si="4"/>
        <v>2</v>
      </c>
      <c r="Q4" s="177" t="str">
        <f>IF(LEFT(RTD("cqg.rtd",,"ContractData",$Q$1&amp;"?"&amp;R37,"Symbol"),LEN($Q$1))=LEFT(RTD("cqg.rtd",,"ContractData",$Q$1&amp;"?"&amp;$R$35,"Symbol"),LEN($Q$1)),RTD("cqg.rtd",,"ContractData",$Q$1&amp;"?"&amp;R37,"Symbol"),NA())</f>
        <v>ZSEH25</v>
      </c>
      <c r="R4" s="178">
        <f>RTD("cqg.rtd", ,"ContractData", Q4, $R$1,,"T")</f>
        <v>1039</v>
      </c>
      <c r="S4" s="178">
        <f>RTD("cqg.rtd", ,"ContractData", Q4,$S$1,,"T")</f>
        <v>1038.75</v>
      </c>
      <c r="T4" s="178">
        <f>RTD("cqg.rtd", ,"ContractData", Q4,$T$1,,"T")</f>
        <v>1039</v>
      </c>
      <c r="U4" s="175">
        <f>RTD("cqg.rtd", ,"ContractData", "F."&amp;$Q$1&amp;"?3",  $U$1,,"T")</f>
        <v>-4.5</v>
      </c>
      <c r="V4" s="172" t="str">
        <f>F2</f>
        <v>ZSES5H5</v>
      </c>
      <c r="W4" s="175">
        <f>RTD("cqg.rtd", ,"ContractData", V4, $W$1,,"T")</f>
        <v>-4</v>
      </c>
      <c r="X4" s="175">
        <f>RTD("cqg.rtd", ,"ContractData", V4, $X$1,,"T")</f>
        <v>4.75</v>
      </c>
      <c r="Y4" s="175">
        <f>RTD("cqg.rtd", ,"ContractData",V4,$Y$1,,"T")</f>
        <v>-4.25</v>
      </c>
      <c r="Z4" s="175">
        <f>RTD("cqg.rtd", ,"ContractData", V4,$Z$1,,"T")</f>
        <v>-3.75</v>
      </c>
      <c r="AA4" s="175">
        <f t="shared" si="5"/>
        <v>-4</v>
      </c>
      <c r="AB4" s="175">
        <f t="shared" si="0"/>
        <v>1039</v>
      </c>
      <c r="AC4" s="175">
        <f t="shared" ref="AC4:AC13" si="11">IF(OR(R4="",R4&lt;S4,R4&gt;T4),(S4+T4)/2,R4)</f>
        <v>1039</v>
      </c>
      <c r="AD4" s="175">
        <f t="shared" si="6"/>
        <v>-4</v>
      </c>
      <c r="AF4" s="171">
        <f t="shared" si="7"/>
        <v>1039</v>
      </c>
      <c r="AG4" s="171">
        <f t="shared" si="8"/>
        <v>-4</v>
      </c>
      <c r="AH4" s="171">
        <f t="shared" si="9"/>
        <v>0</v>
      </c>
      <c r="AI4" s="171" t="str">
        <f>IFERROR(IF(LEFT(RTD("cqg.rtd",,"ContractData",V4,"LongDescription",,"T"),3)="768","",RIGHT(LEFT(RTD("cqg.rtd", ,"ContractData",V4, "LongDescription",, "T"),LEN(RTD("cqg.rtd", ,"ContractData",V4, "LongDescription",, "T"))-1),LEN(RTD("cqg.rtd", ,"ContractData",V4, "LongDescription",, "T"))-FIND(LEFT(V4,3),RTD("cqg.rtd", ,"ContractData",V4, "LongDescription",, "T"))+2)),"")</f>
        <v>1*ZSEH25-1*ZSEX25</v>
      </c>
      <c r="AJ4" s="171">
        <f>RTD("cqg.rtd", ,"ContractData",Q4, "Settlement",,"T")</f>
        <v>1043.5</v>
      </c>
      <c r="AK4" s="171">
        <f>RTD("cqg.rtd", ,"ContractData",V4, "Settlement",,"T")</f>
        <v>-9</v>
      </c>
      <c r="AL4" s="171">
        <f t="shared" si="10"/>
        <v>1043.5</v>
      </c>
    </row>
    <row r="5" spans="1:38" x14ac:dyDescent="0.2">
      <c r="A5" s="170" t="str">
        <f t="shared" si="1"/>
        <v>ZSEK25</v>
      </c>
      <c r="B5" s="170" t="str">
        <f>RTD("cqg.rtd", ,"ContractData",A5, "ContractMonth")</f>
        <v>MAY</v>
      </c>
      <c r="C5" s="176" t="str">
        <f t="shared" si="2"/>
        <v>K5</v>
      </c>
      <c r="D5" s="171" t="str">
        <f t="shared" si="3"/>
        <v>ZSES5K5</v>
      </c>
      <c r="P5" s="172" t="str">
        <f t="shared" si="4"/>
        <v>2</v>
      </c>
      <c r="Q5" s="177" t="str">
        <f>IF(LEFT(RTD("cqg.rtd",,"ContractData",$Q$1&amp;"?"&amp;R38,"Symbol"),LEN($Q$1))=LEFT(RTD("cqg.rtd",,"ContractData",$Q$1&amp;"?"&amp;$R$35,"Symbol"),LEN($Q$1)),RTD("cqg.rtd",,"ContractData",$Q$1&amp;"?"&amp;R38,"Symbol"),NA())</f>
        <v>ZSEK25</v>
      </c>
      <c r="R5" s="178">
        <f>RTD("cqg.rtd", ,"ContractData", Q5, $R$1,,"T")</f>
        <v>1051.25</v>
      </c>
      <c r="S5" s="178">
        <f>RTD("cqg.rtd", ,"ContractData", Q5,$S$1,,"T")</f>
        <v>1051.25</v>
      </c>
      <c r="T5" s="178">
        <f>RTD("cqg.rtd", ,"ContractData", Q5,$T$1,,"T")</f>
        <v>1051.75</v>
      </c>
      <c r="U5" s="175">
        <f>RTD("cqg.rtd", ,"ContractData", "F."&amp;$Q$1&amp;"?4",  $U$1,,"T")</f>
        <v>-5</v>
      </c>
      <c r="V5" s="172" t="str">
        <f>G2</f>
        <v>ZSES5K5</v>
      </c>
      <c r="W5" s="175">
        <f>RTD("cqg.rtd", ,"ContractData", V5, $W$1,,"T")</f>
        <v>-0.75</v>
      </c>
      <c r="X5" s="175">
        <f>RTD("cqg.rtd", ,"ContractData", V5, $X$1,,"T")</f>
        <v>5</v>
      </c>
      <c r="Y5" s="175">
        <f>RTD("cqg.rtd", ,"ContractData",V5,$Y$1,,"T")</f>
        <v>-1.25</v>
      </c>
      <c r="Z5" s="175">
        <f>RTD("cqg.rtd", ,"ContractData", V5,$Z$1,,"T")</f>
        <v>0</v>
      </c>
      <c r="AA5" s="175">
        <f t="shared" si="5"/>
        <v>-0.75</v>
      </c>
      <c r="AB5" s="175">
        <f t="shared" si="0"/>
        <v>1051.25</v>
      </c>
      <c r="AC5" s="175">
        <f t="shared" si="11"/>
        <v>1051.25</v>
      </c>
      <c r="AD5" s="175">
        <f t="shared" si="6"/>
        <v>-0.75</v>
      </c>
      <c r="AF5" s="171">
        <f t="shared" si="7"/>
        <v>1051.25</v>
      </c>
      <c r="AG5" s="171">
        <f t="shared" si="8"/>
        <v>-0.75</v>
      </c>
      <c r="AH5" s="171">
        <f t="shared" si="9"/>
        <v>0</v>
      </c>
      <c r="AI5" s="171" t="str">
        <f>IFERROR(IF(LEFT(RTD("cqg.rtd",,"ContractData",V5,"LongDescription",,"T"),3)="768","",RIGHT(LEFT(RTD("cqg.rtd", ,"ContractData",V5, "LongDescription",, "T"),LEN(RTD("cqg.rtd", ,"ContractData",V5, "LongDescription",, "T"))-1),LEN(RTD("cqg.rtd", ,"ContractData",V5, "LongDescription",, "T"))-FIND(LEFT(V5,3),RTD("cqg.rtd", ,"ContractData",V5, "LongDescription",, "T"))+2)),"")</f>
        <v>1*ZSEK25-1*ZSEF26</v>
      </c>
      <c r="AJ5" s="171">
        <f>RTD("cqg.rtd", ,"ContractData",Q5, "Settlement",,"T")</f>
        <v>1056.75</v>
      </c>
      <c r="AK5" s="171">
        <f>RTD("cqg.rtd", ,"ContractData",V5, "Settlement",,"T")</f>
        <v>-5</v>
      </c>
      <c r="AL5" s="171">
        <f t="shared" si="10"/>
        <v>1056.75</v>
      </c>
    </row>
    <row r="6" spans="1:38" x14ac:dyDescent="0.2">
      <c r="A6" s="170" t="str">
        <f t="shared" si="1"/>
        <v>ZSEN25</v>
      </c>
      <c r="B6" s="170" t="str">
        <f>RTD("cqg.rtd", ,"ContractData",A6, "ContractMonth")</f>
        <v>JUL</v>
      </c>
      <c r="C6" s="176" t="str">
        <f t="shared" si="2"/>
        <v>N5</v>
      </c>
      <c r="D6" s="171" t="str">
        <f t="shared" si="3"/>
        <v>ZSES5N5</v>
      </c>
      <c r="P6" s="172" t="str">
        <f t="shared" si="4"/>
        <v>2</v>
      </c>
      <c r="Q6" s="177" t="str">
        <f>IF(LEFT(RTD("cqg.rtd",,"ContractData",$Q$1&amp;"?"&amp;R39,"Symbol"),LEN($Q$1))=LEFT(RTD("cqg.rtd",,"ContractData",$Q$1&amp;"?"&amp;$R$35,"Symbol"),LEN($Q$1)),RTD("cqg.rtd",,"ContractData",$Q$1&amp;"?"&amp;R39,"Symbol"),NA())</f>
        <v>ZSEN25</v>
      </c>
      <c r="R6" s="178">
        <f>RTD("cqg.rtd", ,"ContractData", Q6, $R$1,,"T")</f>
        <v>1062.5</v>
      </c>
      <c r="S6" s="178">
        <f>RTD("cqg.rtd", ,"ContractData", Q6,$S$1,,"T")</f>
        <v>1062.25</v>
      </c>
      <c r="T6" s="178">
        <f>RTD("cqg.rtd", ,"ContractData", Q6,$T$1,,"T")</f>
        <v>1062.75</v>
      </c>
      <c r="U6" s="175">
        <f>RTD("cqg.rtd", ,"ContractData", "F."&amp;$Q$1&amp;"?5",  $U$1,,"T")</f>
        <v>-5.5</v>
      </c>
      <c r="V6" s="172" t="str">
        <f>H2</f>
        <v>ZSES5N5</v>
      </c>
      <c r="W6" s="175" t="str">
        <f>RTD("cqg.rtd", ,"ContractData", V6, $W$1,,"T")</f>
        <v/>
      </c>
      <c r="X6" s="175">
        <f>RTD("cqg.rtd", ,"ContractData", V6, $X$1,,"T")</f>
        <v>5</v>
      </c>
      <c r="Y6" s="175">
        <f>RTD("cqg.rtd", ,"ContractData",V6,$Y$1,,"T")</f>
        <v>10</v>
      </c>
      <c r="Z6" s="175">
        <f>RTD("cqg.rtd", ,"ContractData", V6,$Z$1,,"T")</f>
        <v>11.5</v>
      </c>
      <c r="AA6" s="175">
        <f t="shared" si="5"/>
        <v>10.75</v>
      </c>
      <c r="AB6" s="175">
        <f t="shared" si="0"/>
        <v>1062.5</v>
      </c>
      <c r="AC6" s="175">
        <f t="shared" si="11"/>
        <v>1062.5</v>
      </c>
      <c r="AD6" s="175">
        <f t="shared" si="6"/>
        <v>10.75</v>
      </c>
      <c r="AF6" s="171">
        <f t="shared" si="7"/>
        <v>1062.5</v>
      </c>
      <c r="AG6" s="171">
        <f t="shared" si="8"/>
        <v>10.75</v>
      </c>
      <c r="AH6" s="171">
        <f t="shared" si="9"/>
        <v>0</v>
      </c>
      <c r="AI6" s="171" t="str">
        <f>IFERROR(IF(LEFT(RTD("cqg.rtd",,"ContractData",V6,"LongDescription",,"T"),3)="768","",RIGHT(LEFT(RTD("cqg.rtd", ,"ContractData",V6, "LongDescription",, "T"),LEN(RTD("cqg.rtd", ,"ContractData",V6, "LongDescription",, "T"))-1),LEN(RTD("cqg.rtd", ,"ContractData",V6, "LongDescription",, "T"))-FIND(LEFT(V6,3),RTD("cqg.rtd", ,"ContractData",V6, "LongDescription",, "T"))+2)),"")</f>
        <v>1*ZSEN25-1*ZSEH26</v>
      </c>
      <c r="AJ6" s="171">
        <f>RTD("cqg.rtd", ,"ContractData",Q6, "Settlement",,"T")</f>
        <v>1068.25</v>
      </c>
      <c r="AK6" s="171">
        <f>RTD("cqg.rtd", ,"ContractData",V6, "Settlement",,"T")</f>
        <v>6.5</v>
      </c>
      <c r="AL6" s="171">
        <f t="shared" si="10"/>
        <v>1068.25</v>
      </c>
    </row>
    <row r="7" spans="1:38" x14ac:dyDescent="0.2">
      <c r="A7" s="170" t="str">
        <f t="shared" si="1"/>
        <v>ZSEQ25</v>
      </c>
      <c r="B7" s="170" t="str">
        <f>RTD("cqg.rtd", ,"ContractData",A7, "ContractMonth")</f>
        <v>AUG</v>
      </c>
      <c r="C7" s="176" t="str">
        <f t="shared" si="2"/>
        <v>Q5</v>
      </c>
      <c r="D7" s="171" t="str">
        <f t="shared" si="3"/>
        <v>ZSES5Q5</v>
      </c>
      <c r="P7" s="172" t="str">
        <f t="shared" si="4"/>
        <v>2</v>
      </c>
      <c r="Q7" s="177" t="str">
        <f>IF(LEFT(RTD("cqg.rtd",,"ContractData",$Q$1&amp;"?"&amp;R40,"Symbol"),LEN($Q$1))=LEFT(RTD("cqg.rtd",,"ContractData",$Q$1&amp;"?"&amp;$R$35,"Symbol"),LEN($Q$1)),RTD("cqg.rtd",,"ContractData",$Q$1&amp;"?"&amp;R40,"Symbol"),NA())</f>
        <v>ZSEQ25</v>
      </c>
      <c r="R7" s="178">
        <f>RTD("cqg.rtd", ,"ContractData", Q7, $R$1,,"T")</f>
        <v>1060.5</v>
      </c>
      <c r="S7" s="178">
        <f>RTD("cqg.rtd", ,"ContractData", Q7,$S$1,,"T")</f>
        <v>1060</v>
      </c>
      <c r="T7" s="178">
        <f>RTD("cqg.rtd", ,"ContractData", Q7,$T$1,,"T")</f>
        <v>1060.5</v>
      </c>
      <c r="U7" s="175">
        <f>RTD("cqg.rtd", ,"ContractData", "F."&amp;$Q$1&amp;"?6", $U$1,,"T")</f>
        <v>-7.25</v>
      </c>
      <c r="V7" s="172" t="str">
        <f>I2</f>
        <v>ZSES5Q5</v>
      </c>
      <c r="W7" s="175" t="str">
        <f>RTD("cqg.rtd", ,"ContractData", V7, $W$1,,"T")</f>
        <v/>
      </c>
      <c r="X7" s="175">
        <f>RTD("cqg.rtd", ,"ContractData", V7, $X$1,,"T")</f>
        <v>2.5</v>
      </c>
      <c r="Y7" s="175">
        <f>RTD("cqg.rtd", ,"ContractData",V7,$Y$1,,"T")</f>
        <v>2</v>
      </c>
      <c r="Z7" s="175">
        <f>RTD("cqg.rtd", ,"ContractData", V7,$Z$1,,"T")</f>
        <v>4.5</v>
      </c>
      <c r="AA7" s="175">
        <f t="shared" si="5"/>
        <v>3.25</v>
      </c>
      <c r="AB7" s="175">
        <f t="shared" si="0"/>
        <v>1060.5</v>
      </c>
      <c r="AC7" s="175">
        <f t="shared" si="11"/>
        <v>1060.5</v>
      </c>
      <c r="AD7" s="175">
        <f t="shared" si="6"/>
        <v>3.25</v>
      </c>
      <c r="AF7" s="171">
        <f t="shared" si="7"/>
        <v>1060.5</v>
      </c>
      <c r="AG7" s="171">
        <f t="shared" si="8"/>
        <v>3.25</v>
      </c>
      <c r="AH7" s="171">
        <f t="shared" si="9"/>
        <v>0</v>
      </c>
      <c r="AI7" s="171" t="str">
        <f>IFERROR(IF(LEFT(RTD("cqg.rtd",,"ContractData",V7,"LongDescription",,"T"),3)="768","",RIGHT(LEFT(RTD("cqg.rtd", ,"ContractData",V7, "LongDescription",, "T"),LEN(RTD("cqg.rtd", ,"ContractData",V7, "LongDescription",, "T"))-1),LEN(RTD("cqg.rtd", ,"ContractData",V7, "LongDescription",, "T"))-FIND(LEFT(V7,3),RTD("cqg.rtd", ,"ContractData",V7, "LongDescription",, "T"))+2)),"")</f>
        <v>1*ZSEQ25-1*ZSEK26</v>
      </c>
      <c r="AJ7" s="171">
        <f>RTD("cqg.rtd", ,"ContractData",Q7, "Settlement",,"T")</f>
        <v>1067.25</v>
      </c>
      <c r="AK7" s="171">
        <f>RTD("cqg.rtd", ,"ContractData",V7, "Settlement",,"T")</f>
        <v>-0.5</v>
      </c>
      <c r="AL7" s="171">
        <f t="shared" si="10"/>
        <v>1067.25</v>
      </c>
    </row>
    <row r="8" spans="1:38" x14ac:dyDescent="0.2">
      <c r="A8" s="170" t="str">
        <f t="shared" si="1"/>
        <v>ZSEU25</v>
      </c>
      <c r="B8" s="170" t="str">
        <f>RTD("cqg.rtd", ,"ContractData",A8, "ContractMonth")</f>
        <v>SEP</v>
      </c>
      <c r="C8" s="176" t="str">
        <f t="shared" si="2"/>
        <v>U5</v>
      </c>
      <c r="D8" s="171" t="str">
        <f t="shared" si="3"/>
        <v>ZSES5U5</v>
      </c>
      <c r="P8" s="172" t="str">
        <f t="shared" si="4"/>
        <v>2</v>
      </c>
      <c r="Q8" s="177" t="str">
        <f>IF(LEFT(RTD("cqg.rtd",,"ContractData",$Q$1&amp;"?"&amp;R41,"Symbol"),LEN($Q$1))=LEFT(RTD("cqg.rtd",,"ContractData",$Q$1&amp;"?"&amp;$R$35,"Symbol"),LEN($Q$1)),RTD("cqg.rtd",,"ContractData",$Q$1&amp;"?"&amp;R41,"Symbol"),NA())</f>
        <v>ZSEU25</v>
      </c>
      <c r="R8" s="178">
        <f>RTD("cqg.rtd", ,"ContractData", Q8, $R$1,,"T")</f>
        <v>1046</v>
      </c>
      <c r="S8" s="178">
        <f>RTD("cqg.rtd", ,"ContractData", Q8,$S$1,,"T")</f>
        <v>1045</v>
      </c>
      <c r="T8" s="178">
        <f>RTD("cqg.rtd", ,"ContractData", Q8,$T$1,,"T")</f>
        <v>1045.5</v>
      </c>
      <c r="U8" s="175">
        <f>RTD("cqg.rtd", ,"ContractData", "F."&amp;$Q$1&amp;"?7", $U$1,,"T")</f>
        <v>-9</v>
      </c>
      <c r="V8" s="172" t="str">
        <f>J2</f>
        <v>ZSES5U5</v>
      </c>
      <c r="W8" s="175" t="str">
        <f>RTD("cqg.rtd", ,"ContractData", V8, $W$1,,"T")</f>
        <v/>
      </c>
      <c r="X8" s="175">
        <f>RTD("cqg.rtd", ,"ContractData", V8, $X$1,,"T")</f>
        <v>3.75</v>
      </c>
      <c r="Y8" s="175">
        <f>RTD("cqg.rtd", ,"ContractData",V8,$Y$1,,"T")</f>
        <v>-20.5</v>
      </c>
      <c r="Z8" s="175">
        <f>RTD("cqg.rtd", ,"ContractData", V8,$Z$1,,"T")</f>
        <v>-18</v>
      </c>
      <c r="AA8" s="175">
        <f t="shared" si="5"/>
        <v>-19.25</v>
      </c>
      <c r="AB8" s="175">
        <f t="shared" si="0"/>
        <v>1045.25</v>
      </c>
      <c r="AC8" s="175">
        <f t="shared" si="11"/>
        <v>1045.25</v>
      </c>
      <c r="AD8" s="175">
        <f t="shared" si="6"/>
        <v>-19.25</v>
      </c>
      <c r="AF8" s="171">
        <f t="shared" si="7"/>
        <v>1045.25</v>
      </c>
      <c r="AG8" s="171">
        <f t="shared" si="8"/>
        <v>-19.25</v>
      </c>
      <c r="AH8" s="171">
        <f t="shared" si="9"/>
        <v>0</v>
      </c>
      <c r="AI8" s="171" t="str">
        <f>IFERROR(IF(LEFT(RTD("cqg.rtd",,"ContractData",V8,"LongDescription",,"T"),3)="768","",RIGHT(LEFT(RTD("cqg.rtd", ,"ContractData",V8, "LongDescription",, "T"),LEN(RTD("cqg.rtd", ,"ContractData",V8, "LongDescription",, "T"))-1),LEN(RTD("cqg.rtd", ,"ContractData",V8, "LongDescription",, "T"))-FIND(LEFT(V8,3),RTD("cqg.rtd", ,"ContractData",V8, "LongDescription",, "T"))+2)),"")</f>
        <v>1*ZSEU25-1*ZSEN26</v>
      </c>
      <c r="AJ8" s="171">
        <f>RTD("cqg.rtd", ,"ContractData",Q8, "Settlement",,"T")</f>
        <v>1054</v>
      </c>
      <c r="AK8" s="171">
        <f>RTD("cqg.rtd", ,"ContractData",V8, "Settlement",,"T")</f>
        <v>-21.75</v>
      </c>
      <c r="AL8" s="171">
        <f t="shared" si="10"/>
        <v>1054</v>
      </c>
    </row>
    <row r="9" spans="1:38" x14ac:dyDescent="0.2">
      <c r="A9" s="170" t="str">
        <f t="shared" si="1"/>
        <v>ZSEX25</v>
      </c>
      <c r="B9" s="170" t="str">
        <f>RTD("cqg.rtd", ,"ContractData",A9, "ContractMonth")</f>
        <v>NOV</v>
      </c>
      <c r="C9" s="176" t="str">
        <f t="shared" si="2"/>
        <v>X5</v>
      </c>
      <c r="D9" s="171" t="str">
        <f t="shared" si="3"/>
        <v>ZSES5X5</v>
      </c>
      <c r="P9" s="172" t="str">
        <f t="shared" si="4"/>
        <v>2</v>
      </c>
      <c r="Q9" s="177" t="str">
        <f>IF(LEFT(RTD("cqg.rtd",,"ContractData",$Q$1&amp;"?"&amp;R42,"Symbol"),LEN($Q$1))=LEFT(RTD("cqg.rtd",,"ContractData",$Q$1&amp;"?"&amp;$R$35,"Symbol"),LEN($Q$1)),RTD("cqg.rtd",,"ContractData",$Q$1&amp;"?"&amp;R42,"Symbol"),NA())</f>
        <v>ZSEX25</v>
      </c>
      <c r="R9" s="178">
        <f>RTD("cqg.rtd", ,"ContractData", Q9, $R$1,,"T")</f>
        <v>1043</v>
      </c>
      <c r="S9" s="178">
        <f>RTD("cqg.rtd", ,"ContractData", Q9,$S$1,,"T")</f>
        <v>1042.75</v>
      </c>
      <c r="T9" s="178">
        <f>RTD("cqg.rtd", ,"ContractData", Q9,$T$1,,"T")</f>
        <v>1043.25</v>
      </c>
      <c r="U9" s="175">
        <f>RTD("cqg.rtd", ,"ContractData", "F."&amp;$Q$1&amp;"?8", $U$1,,"T")</f>
        <v>-9.25</v>
      </c>
      <c r="V9" s="172" t="str">
        <f>K2</f>
        <v>ZSES5X5</v>
      </c>
      <c r="W9" s="175" t="str">
        <f>RTD("cqg.rtd", ,"ContractData", V9, $W$1,,"T")</f>
        <v/>
      </c>
      <c r="X9" s="175" t="str">
        <f>RTD("cqg.rtd", ,"ContractData", V9, $X$1,,"T")</f>
        <v/>
      </c>
      <c r="Y9" s="175" t="str">
        <f>RTD("cqg.rtd", ,"ContractData",V9,$Y$1,,"T")</f>
        <v/>
      </c>
      <c r="Z9" s="175" t="str">
        <f>RTD("cqg.rtd", ,"ContractData", V9,$Z$1,,"T")</f>
        <v/>
      </c>
      <c r="AA9" s="175" t="e">
        <f t="shared" si="5"/>
        <v>#VALUE!</v>
      </c>
      <c r="AB9" s="175">
        <f t="shared" si="0"/>
        <v>1043</v>
      </c>
      <c r="AC9" s="175">
        <f t="shared" si="11"/>
        <v>1043</v>
      </c>
      <c r="AD9" s="175" t="str">
        <f t="shared" si="6"/>
        <v/>
      </c>
      <c r="AF9" s="171">
        <f t="shared" si="7"/>
        <v>1043</v>
      </c>
      <c r="AG9" s="171" t="e">
        <f t="shared" si="8"/>
        <v>#N/A</v>
      </c>
      <c r="AH9" s="171">
        <f t="shared" si="9"/>
        <v>0</v>
      </c>
      <c r="AI9" s="171" t="str">
        <f>IFERROR(IF(LEFT(RTD("cqg.rtd",,"ContractData",V9,"LongDescription",,"T"),3)="768","",RIGHT(LEFT(RTD("cqg.rtd", ,"ContractData",V9, "LongDescription",, "T"),LEN(RTD("cqg.rtd", ,"ContractData",V9, "LongDescription",, "T"))-1),LEN(RTD("cqg.rtd", ,"ContractData",V9, "LongDescription",, "T"))-FIND(LEFT(V9,3),RTD("cqg.rtd", ,"ContractData",V9, "LongDescription",, "T"))+2)),"")</f>
        <v>1*ZSEX25-1*ZSEQ26</v>
      </c>
      <c r="AJ9" s="171">
        <f>RTD("cqg.rtd", ,"ContractData",Q9, "Settlement",,"T")</f>
        <v>1052.5</v>
      </c>
      <c r="AK9" s="171">
        <f>RTD("cqg.rtd", ,"ContractData",V9, "Settlement",,"T")</f>
        <v>-19.75</v>
      </c>
      <c r="AL9" s="171">
        <f t="shared" si="10"/>
        <v>1052.5</v>
      </c>
    </row>
    <row r="10" spans="1:38" x14ac:dyDescent="0.2">
      <c r="A10" s="170" t="str">
        <f t="shared" si="1"/>
        <v>ZSEF26</v>
      </c>
      <c r="B10" s="170" t="str">
        <f>RTD("cqg.rtd", ,"ContractData",A10, "ContractMonth")</f>
        <v>JAN</v>
      </c>
      <c r="C10" s="176" t="str">
        <f t="shared" si="2"/>
        <v>F6</v>
      </c>
      <c r="D10" s="171" t="str">
        <f t="shared" si="3"/>
        <v>ZSES5F6</v>
      </c>
      <c r="P10" s="172" t="str">
        <f t="shared" si="4"/>
        <v>2</v>
      </c>
      <c r="Q10" s="177" t="str">
        <f>IF(LEFT(RTD("cqg.rtd",,"ContractData",$Q$1&amp;"?"&amp;R43,"Symbol"),LEN($Q$1))=LEFT(RTD("cqg.rtd",,"ContractData",$Q$1&amp;"?"&amp;$R$35,"Symbol"),LEN($Q$1)),RTD("cqg.rtd",,"ContractData",$Q$1&amp;"?"&amp;R43,"Symbol"),NA())</f>
        <v>ZSEF26</v>
      </c>
      <c r="R10" s="178">
        <f>RTD("cqg.rtd", ,"ContractData", Q10, $R$1,,"T")</f>
        <v>1052.25</v>
      </c>
      <c r="S10" s="178">
        <f>RTD("cqg.rtd", ,"ContractData", Q10,$S$1,,"T")</f>
        <v>1051.75</v>
      </c>
      <c r="T10" s="178">
        <f>RTD("cqg.rtd", ,"ContractData", Q10,$T$1,,"T")</f>
        <v>1052.5</v>
      </c>
      <c r="U10" s="175">
        <f>RTD("cqg.rtd", ,"ContractData", "F."&amp;$Q$1&amp;"?9", $U$1,,"T")</f>
        <v>-9.25</v>
      </c>
      <c r="V10" s="172" t="str">
        <f>L2</f>
        <v>ZSES5F6</v>
      </c>
      <c r="W10" s="175" t="str">
        <f>RTD("cqg.rtd", ,"ContractData", V10, $W$1,,"T")</f>
        <v/>
      </c>
      <c r="X10" s="175">
        <f>RTD("cqg.rtd", ,"ContractData", V10, $X$1,,"T")</f>
        <v>29.25</v>
      </c>
      <c r="Y10" s="175" t="str">
        <f>RTD("cqg.rtd", ,"ContractData",V10,$Y$1,,"T")</f>
        <v/>
      </c>
      <c r="Z10" s="175">
        <f>RTD("cqg.rtd", ,"ContractData", V10,$Z$1,,"T")</f>
        <v>31.5</v>
      </c>
      <c r="AA10" s="175" t="e">
        <f t="shared" si="5"/>
        <v>#VALUE!</v>
      </c>
      <c r="AB10" s="175">
        <f t="shared" si="0"/>
        <v>1052.25</v>
      </c>
      <c r="AC10" s="175">
        <f t="shared" si="11"/>
        <v>1052.25</v>
      </c>
      <c r="AD10" s="175" t="str">
        <f t="shared" si="6"/>
        <v/>
      </c>
      <c r="AF10" s="171">
        <f t="shared" si="7"/>
        <v>1052.25</v>
      </c>
      <c r="AG10" s="171" t="e">
        <f t="shared" si="8"/>
        <v>#N/A</v>
      </c>
      <c r="AH10" s="171">
        <f t="shared" si="9"/>
        <v>0</v>
      </c>
      <c r="AI10" s="171" t="str">
        <f>IFERROR(IF(LEFT(RTD("cqg.rtd",,"ContractData",V10,"LongDescription",,"T"),3)="768","",RIGHT(LEFT(RTD("cqg.rtd", ,"ContractData",V10, "LongDescription",, "T"),LEN(RTD("cqg.rtd", ,"ContractData",V10, "LongDescription",, "T"))-1),LEN(RTD("cqg.rtd", ,"ContractData",V10, "LongDescription",, "T"))-FIND(LEFT(V10,3),RTD("cqg.rtd", ,"ContractData",V10, "LongDescription",, "T"))+2)),"")</f>
        <v>1*ZSEF26-1*ZSEU26</v>
      </c>
      <c r="AJ10" s="171">
        <f>RTD("cqg.rtd", ,"ContractData",Q10, "Settlement",,"T")</f>
        <v>1061.75</v>
      </c>
      <c r="AK10" s="171">
        <f>RTD("cqg.rtd", ,"ContractData",V10, "Settlement",,"T")</f>
        <v>2.25</v>
      </c>
      <c r="AL10" s="171">
        <f t="shared" si="10"/>
        <v>1061.75</v>
      </c>
    </row>
    <row r="11" spans="1:38" x14ac:dyDescent="0.2">
      <c r="A11" s="170" t="str">
        <f t="shared" si="1"/>
        <v>ZSEH26</v>
      </c>
      <c r="B11" s="170" t="str">
        <f>RTD("cqg.rtd", ,"ContractData",A11, "ContractMonth")</f>
        <v>MAR</v>
      </c>
      <c r="C11" s="176" t="str">
        <f t="shared" si="2"/>
        <v>H6</v>
      </c>
      <c r="D11" s="171" t="str">
        <f t="shared" si="3"/>
        <v>ZSES5H6</v>
      </c>
      <c r="P11" s="172" t="str">
        <f t="shared" si="4"/>
        <v>2</v>
      </c>
      <c r="Q11" s="177" t="str">
        <f>IF(LEFT(RTD("cqg.rtd",,"ContractData",$Q$1&amp;"?"&amp;R44,"Symbol"),LEN($Q$1))=LEFT(RTD("cqg.rtd",,"ContractData",$Q$1&amp;"?"&amp;$R$35,"Symbol"),LEN($Q$1)),RTD("cqg.rtd",,"ContractData",$Q$1&amp;"?"&amp;R44,"Symbol"),NA())</f>
        <v>ZSEH26</v>
      </c>
      <c r="R11" s="178">
        <f>RTD("cqg.rtd", ,"ContractData", Q11, $R$1,,"T")</f>
        <v>1051.75</v>
      </c>
      <c r="S11" s="178">
        <f>RTD("cqg.rtd", ,"ContractData", Q11,$S$1,,"T")</f>
        <v>1051.25</v>
      </c>
      <c r="T11" s="178">
        <f>RTD("cqg.rtd", ,"ContractData", Q11,$T$1,,"T")</f>
        <v>1052.25</v>
      </c>
      <c r="U11" s="175">
        <f>RTD("cqg.rtd", ,"ContractData", "F."&amp;$Q$1&amp;"?10", $U$1,,"T")</f>
        <v>-9.5</v>
      </c>
      <c r="V11" s="172" t="str">
        <f>M2</f>
        <v>ZSES5H6</v>
      </c>
      <c r="W11" s="175" t="str">
        <f>RTD("cqg.rtd", ,"ContractData", V11, $W$1,,"T")</f>
        <v/>
      </c>
      <c r="X11" s="175">
        <f>RTD("cqg.rtd", ,"ContractData", V11, $X$1,,"T")</f>
        <v>-0.75</v>
      </c>
      <c r="Y11" s="175">
        <f>RTD("cqg.rtd", ,"ContractData",V11,$Y$1,,"T")</f>
        <v>0.25</v>
      </c>
      <c r="Z11" s="175">
        <f>RTD("cqg.rtd", ,"ContractData", V11,$Z$1,,"T")</f>
        <v>8</v>
      </c>
      <c r="AA11" s="175">
        <f t="shared" si="5"/>
        <v>4.125</v>
      </c>
      <c r="AB11" s="175">
        <f t="shared" si="0"/>
        <v>1051.75</v>
      </c>
      <c r="AC11" s="175">
        <f t="shared" si="11"/>
        <v>1051.75</v>
      </c>
      <c r="AD11" s="175">
        <f t="shared" si="6"/>
        <v>4.125</v>
      </c>
      <c r="AF11" s="171">
        <f t="shared" si="7"/>
        <v>1051.75</v>
      </c>
      <c r="AG11" s="171">
        <f t="shared" si="8"/>
        <v>4.13</v>
      </c>
      <c r="AH11" s="171">
        <f t="shared" si="9"/>
        <v>0</v>
      </c>
      <c r="AI11" s="171" t="str">
        <f>IFERROR(IF(LEFT(RTD("cqg.rtd",,"ContractData",V11,"LongDescription",,"T"),3)="768","",RIGHT(LEFT(RTD("cqg.rtd", ,"ContractData",V11, "LongDescription",, "T"),LEN(RTD("cqg.rtd", ,"ContractData",V11, "LongDescription",, "T"))-1),LEN(RTD("cqg.rtd", ,"ContractData",V11, "LongDescription",, "T"))-FIND(LEFT(V11,3),RTD("cqg.rtd", ,"ContractData",V11, "LongDescription",, "T"))+2)),"")</f>
        <v>1*ZSEH26-1*ZSEX26</v>
      </c>
      <c r="AJ11" s="171">
        <f>RTD("cqg.rtd", ,"ContractData",Q11, "Settlement",,"T")</f>
        <v>1061.75</v>
      </c>
      <c r="AK11" s="171">
        <f>RTD("cqg.rtd", ,"ContractData",V11, "Settlement",,"T")</f>
        <v>1</v>
      </c>
      <c r="AL11" s="171">
        <f t="shared" si="10"/>
        <v>1061.75</v>
      </c>
    </row>
    <row r="12" spans="1:38" x14ac:dyDescent="0.2">
      <c r="A12" s="170" t="str">
        <f t="shared" si="1"/>
        <v>ZSEK26</v>
      </c>
      <c r="B12" s="170" t="str">
        <f>RTD("cqg.rtd", ,"ContractData",A12, "ContractMonth")</f>
        <v>MAY</v>
      </c>
      <c r="C12" s="176" t="str">
        <f t="shared" si="2"/>
        <v>K6</v>
      </c>
      <c r="D12" s="171" t="str">
        <f t="shared" si="3"/>
        <v>ZSES5K6</v>
      </c>
      <c r="P12" s="172" t="str">
        <f t="shared" si="4"/>
        <v>2</v>
      </c>
      <c r="Q12" s="177" t="str">
        <f>IF(LEFT(RTD("cqg.rtd",,"ContractData",$Q$1&amp;"?"&amp;R45,"Symbol"),LEN($Q$1))=LEFT(RTD("cqg.rtd",,"ContractData",$Q$1&amp;"?"&amp;$R$35,"Symbol"),LEN($Q$1)),RTD("cqg.rtd",,"ContractData",$Q$1&amp;"?"&amp;R45,"Symbol"),NA())</f>
        <v>ZSEK26</v>
      </c>
      <c r="R12" s="178">
        <f>RTD("cqg.rtd", ,"ContractData", Q12, $R$1,,"T")</f>
        <v>1064</v>
      </c>
      <c r="S12" s="178">
        <f>RTD("cqg.rtd", ,"ContractData", Q12,$S$1,,"T")</f>
        <v>1056.25</v>
      </c>
      <c r="T12" s="178">
        <f>RTD("cqg.rtd", ,"ContractData", Q12,$T$1,,"T")</f>
        <v>1057.75</v>
      </c>
      <c r="U12" s="175">
        <f>RTD("cqg.rtd", ,"ContractData", "F."&amp;$Q$1&amp;"?11",$U$1,,"T")</f>
        <v>-10</v>
      </c>
      <c r="V12" s="172" t="str">
        <f>N2</f>
        <v>ZSES5K6</v>
      </c>
      <c r="W12" s="175" t="str">
        <f>RTD("cqg.rtd", ,"ContractData", V12, $W$1,,"T")</f>
        <v/>
      </c>
      <c r="X12" s="175" t="str">
        <f>RTD("cqg.rtd", ,"ContractData", V12, $X$1,,"T")</f>
        <v/>
      </c>
      <c r="Y12" s="175" t="str">
        <f>RTD("cqg.rtd", ,"ContractData",V12,$Y$1,,"T")</f>
        <v/>
      </c>
      <c r="Z12" s="175" t="str">
        <f>RTD("cqg.rtd", ,"ContractData", V12,$Z$1,,"T")</f>
        <v/>
      </c>
      <c r="AA12" s="175" t="e">
        <f t="shared" si="5"/>
        <v>#VALUE!</v>
      </c>
      <c r="AB12" s="175">
        <f t="shared" si="0"/>
        <v>1057</v>
      </c>
      <c r="AC12" s="175">
        <f t="shared" si="11"/>
        <v>1057</v>
      </c>
      <c r="AD12" s="175" t="str">
        <f t="shared" si="6"/>
        <v/>
      </c>
      <c r="AF12" s="171">
        <f t="shared" si="7"/>
        <v>1057</v>
      </c>
      <c r="AG12" s="171" t="e">
        <f t="shared" si="8"/>
        <v>#N/A</v>
      </c>
      <c r="AH12" s="171">
        <f t="shared" si="9"/>
        <v>0</v>
      </c>
      <c r="AI12" s="171" t="str">
        <f>IFERROR(IF(LEFT(RTD("cqg.rtd",,"ContractData",V12,"LongDescription",,"T"),3)="768","",RIGHT(LEFT(RTD("cqg.rtd", ,"ContractData",V12, "LongDescription",, "T"),LEN(RTD("cqg.rtd", ,"ContractData",V12, "LongDescription",, "T"))-1),LEN(RTD("cqg.rtd", ,"ContractData",V12, "LongDescription",, "T"))-FIND(LEFT(V12,3),RTD("cqg.rtd", ,"ContractData",V12, "LongDescription",, "T"))+2)),"")</f>
        <v>1*ZSEK26-1*ZSEF27</v>
      </c>
      <c r="AJ12" s="171">
        <f>RTD("cqg.rtd", ,"ContractData",Q12, "Settlement",,"T")</f>
        <v>1067.75</v>
      </c>
      <c r="AK12" s="171" t="str">
        <f>RTD("cqg.rtd", ,"ContractData",V12, "Settlement",,"T")</f>
        <v/>
      </c>
      <c r="AL12" s="171">
        <f t="shared" si="10"/>
        <v>1067.75</v>
      </c>
    </row>
    <row r="13" spans="1:38" x14ac:dyDescent="0.2">
      <c r="A13" s="170" t="str">
        <f t="shared" si="1"/>
        <v>ZSEN26</v>
      </c>
      <c r="B13" s="170" t="str">
        <f>RTD("cqg.rtd", ,"ContractData",A13, "ContractMonth")</f>
        <v>JUL</v>
      </c>
      <c r="C13" s="176" t="str">
        <f t="shared" si="2"/>
        <v>N6</v>
      </c>
      <c r="D13" s="171" t="str">
        <f t="shared" si="3"/>
        <v>ZSES5N6</v>
      </c>
      <c r="P13" s="172" t="str">
        <f t="shared" si="4"/>
        <v>2</v>
      </c>
      <c r="Q13" s="177" t="str">
        <f>IF(LEFT(RTD("cqg.rtd",,"ContractData",$Q$1&amp;"?"&amp;R46,"Symbol"),LEN($Q$1))=LEFT(RTD("cqg.rtd",,"ContractData",$Q$1&amp;"?"&amp;$R$35,"Symbol"),LEN($Q$1)),RTD("cqg.rtd",,"ContractData",$Q$1&amp;"?"&amp;R46,"Symbol"),NA())</f>
        <v>ZSEN26</v>
      </c>
      <c r="R13" s="178">
        <f>RTD("cqg.rtd", ,"ContractData", Q13, $R$1,,"T")</f>
        <v>1065.75</v>
      </c>
      <c r="S13" s="178">
        <f>RTD("cqg.rtd", ,"ContractData", Q13,$S$1,,"T")</f>
        <v>1063.5</v>
      </c>
      <c r="T13" s="178">
        <f>RTD("cqg.rtd", ,"ContractData", Q13,$T$1,,"T")</f>
        <v>1065.5</v>
      </c>
      <c r="U13" s="175">
        <f>RTD("cqg.rtd", ,"ContractData", "F."&amp;$Q$1&amp;"?12",$U$1,,"T")</f>
        <v>-12.25</v>
      </c>
      <c r="V13" s="172" t="str">
        <f>O2</f>
        <v>ZSES5N6</v>
      </c>
      <c r="W13" s="175" t="str">
        <f>RTD("cqg.rtd", ,"ContractData", V13, $W$1,,"T")</f>
        <v/>
      </c>
      <c r="X13" s="175" t="str">
        <f>RTD("cqg.rtd", ,"ContractData", V13, $X$1,,"T")</f>
        <v/>
      </c>
      <c r="Y13" s="175" t="str">
        <f>RTD("cqg.rtd", ,"ContractData",V13,$Y$1,,"T")</f>
        <v/>
      </c>
      <c r="Z13" s="175" t="str">
        <f>RTD("cqg.rtd", ,"ContractData", V13,$Z$1,,"T")</f>
        <v/>
      </c>
      <c r="AA13" s="175" t="e">
        <f t="shared" si="5"/>
        <v>#VALUE!</v>
      </c>
      <c r="AB13" s="175">
        <f t="shared" si="0"/>
        <v>1064.5</v>
      </c>
      <c r="AC13" s="175">
        <f t="shared" si="11"/>
        <v>1064.5</v>
      </c>
      <c r="AD13" s="175" t="str">
        <f t="shared" si="6"/>
        <v/>
      </c>
      <c r="AF13" s="171">
        <f t="shared" si="7"/>
        <v>1064.5</v>
      </c>
      <c r="AG13" s="171" t="e">
        <f t="shared" si="8"/>
        <v>#N/A</v>
      </c>
      <c r="AH13" s="171">
        <f t="shared" si="9"/>
        <v>0</v>
      </c>
      <c r="AI13" s="171" t="str">
        <f>IFERROR(IF(LEFT(RTD("cqg.rtd",,"ContractData",V13,"LongDescription",,"T"),3)="768","",RIGHT(LEFT(RTD("cqg.rtd", ,"ContractData",V13, "LongDescription",, "T"),LEN(RTD("cqg.rtd", ,"ContractData",V13, "LongDescription",, "T"))-1),LEN(RTD("cqg.rtd", ,"ContractData",V13, "LongDescription",, "T"))-FIND(LEFT(V13,3),RTD("cqg.rtd", ,"ContractData",V13, "LongDescription",, "T"))+2)),"")</f>
        <v>1*ZSEN26-1*ZSEH27</v>
      </c>
      <c r="AJ13" s="171">
        <f>RTD("cqg.rtd", ,"ContractData",Q13, "Settlement",,"T")</f>
        <v>1075.75</v>
      </c>
      <c r="AK13" s="171" t="str">
        <f>RTD("cqg.rtd", ,"ContractData",V13, "Settlement",,"T")</f>
        <v/>
      </c>
      <c r="AL13" s="171">
        <f t="shared" si="10"/>
        <v>1075.75</v>
      </c>
    </row>
    <row r="14" spans="1:38" x14ac:dyDescent="0.2"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</row>
    <row r="15" spans="1:38" x14ac:dyDescent="0.2">
      <c r="E15" s="171" t="b">
        <v>0</v>
      </c>
      <c r="F15" s="171" t="s">
        <v>33</v>
      </c>
      <c r="G15" s="171" t="s">
        <v>34</v>
      </c>
      <c r="P15" s="172"/>
      <c r="Q15" s="172"/>
      <c r="R15" s="172"/>
      <c r="S15" s="172"/>
      <c r="T15" s="172"/>
      <c r="U15" s="172"/>
    </row>
    <row r="16" spans="1:38" x14ac:dyDescent="0.2">
      <c r="A16" s="171">
        <f>Main!K4</f>
        <v>10</v>
      </c>
      <c r="B16" s="171">
        <f>Main!L4</f>
        <v>15</v>
      </c>
      <c r="C16" s="171">
        <f>Main!M4</f>
        <v>2024</v>
      </c>
      <c r="D16" s="171" t="str">
        <f>Main!M5</f>
        <v>D</v>
      </c>
      <c r="E16" s="179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991</v>
      </c>
      <c r="G16" s="179">
        <f>IFERROR(AF2-E16,"")</f>
        <v>24.25</v>
      </c>
      <c r="I16" s="171" t="str">
        <f>$Q$1&amp;"?"&amp;R35</f>
        <v>ZSE?1</v>
      </c>
      <c r="J16" s="171" t="str">
        <f>$Q$1&amp;"S5??"&amp;R35</f>
        <v>ZSES5??1</v>
      </c>
      <c r="K16" s="171">
        <f>TEXT(IF(LEFT(M16,3)="768",NA(),RTD("cqg.rtd",,"StudyData", "Close("&amp;$J16&amp;")when (LocalMonth("&amp;$J16&amp;")="&amp;$A$16&amp;" and LocalDay("&amp;$J16&amp;")="&amp;$B$16&amp;" and LocalYear("&amp;$J16&amp;")="&amp;$C$16&amp;")", "Bar", "", "Close",$D$16, "0","ALL","", "",$E$15,$F$15)),$E$29)*1</f>
        <v>-50.5</v>
      </c>
      <c r="L16" s="171">
        <f>TEXT(IFERROR(AG2-K16,""),$E$29)*1</f>
        <v>3.5</v>
      </c>
      <c r="M16" s="171" t="str">
        <f>RTD("cqg.rtd", ,"ContractData", J16,"Symbol",,"T")</f>
        <v>ZSES5X24</v>
      </c>
    </row>
    <row r="17" spans="5:29" x14ac:dyDescent="0.2">
      <c r="E17" s="179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1003.5</v>
      </c>
      <c r="G17" s="179">
        <f t="shared" ref="G17:G27" si="12">IFERROR(AF3-E17,"")</f>
        <v>23.75</v>
      </c>
      <c r="I17" s="171" t="str">
        <f t="shared" ref="I17:I27" si="13">$Q$1&amp;"?"&amp;R36</f>
        <v>ZSE?2</v>
      </c>
      <c r="J17" s="171" t="str">
        <f t="shared" ref="J17:J27" si="14">$Q$1&amp;"S5??"&amp;R36</f>
        <v>ZSES5??2</v>
      </c>
      <c r="K17" s="171">
        <f>TEXT(IF(LEFT(M17,3)="768",NA(),RTD("cqg.rtd",,"StudyData", "Close("&amp;$J17&amp;")when (LocalMonth("&amp;$J17&amp;")="&amp;$A$16&amp;" and LocalDay("&amp;$J17&amp;")="&amp;$B$16&amp;" and LocalYear("&amp;$J17&amp;")="&amp;$C$16&amp;")", "Bar", "", "Close",$D$16, "0","ALL","", "",$E$15,$F$15)),$E$29)*1</f>
        <v>-29.75</v>
      </c>
      <c r="L17" s="171">
        <f t="shared" ref="L17:L27" si="15">TEXT(IFERROR(AG3-K17,""),$E$29)*1</f>
        <v>11.75</v>
      </c>
      <c r="M17" s="171" t="str">
        <f>RTD("cqg.rtd", ,"ContractData", J17,"Symbol",,"T")</f>
        <v>ZSES5F25</v>
      </c>
      <c r="AB17" s="179"/>
      <c r="AC17" s="179"/>
    </row>
    <row r="18" spans="5:29" x14ac:dyDescent="0.2">
      <c r="E18" s="179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1016.75</v>
      </c>
      <c r="G18" s="179">
        <f t="shared" si="12"/>
        <v>22.25</v>
      </c>
      <c r="I18" s="171" t="str">
        <f t="shared" si="13"/>
        <v>ZSE?3</v>
      </c>
      <c r="J18" s="171" t="str">
        <f t="shared" si="14"/>
        <v>ZSES5??3</v>
      </c>
      <c r="K18" s="171">
        <f>TEXT(IF(LEFT(M18,3)="768",NA(),RTD("cqg.rtd",,"StudyData", "Close("&amp;$J18&amp;")when (LocalMonth("&amp;$J18&amp;")="&amp;$A$16&amp;" and LocalDay("&amp;$J18&amp;")="&amp;$B$16&amp;" and LocalYear("&amp;$J18&amp;")="&amp;$C$16&amp;")", "Bar", "", "Close",$D$16, "0","ALL","", "",$E$15,$F$15)),$E$29)*1</f>
        <v>-19</v>
      </c>
      <c r="L18" s="171">
        <f t="shared" si="15"/>
        <v>15</v>
      </c>
      <c r="M18" s="171" t="str">
        <f>RTD("cqg.rtd", ,"ContractData", J18,"Symbol",,"T")</f>
        <v>ZSES5H25</v>
      </c>
      <c r="AB18" s="179"/>
      <c r="AC18" s="179"/>
    </row>
    <row r="19" spans="5:29" x14ac:dyDescent="0.2">
      <c r="E19" s="179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1030.5</v>
      </c>
      <c r="G19" s="179">
        <f t="shared" si="12"/>
        <v>20.75</v>
      </c>
      <c r="I19" s="171" t="str">
        <f t="shared" si="13"/>
        <v>ZSE?4</v>
      </c>
      <c r="J19" s="171" t="str">
        <f t="shared" si="14"/>
        <v>ZSES5??4</v>
      </c>
      <c r="K19" s="171">
        <f>TEXT(IF(LEFT(M19,3)="768",NA(),RTD("cqg.rtd",,"StudyData", "Close("&amp;$J19&amp;")when (LocalMonth("&amp;$J19&amp;")="&amp;$A$16&amp;" and LocalDay("&amp;$J19&amp;")="&amp;$B$16&amp;" and LocalYear("&amp;$J19&amp;")="&amp;$C$16&amp;")", "Bar", "", "Close",$D$16, "0","ALL","", "",$E$15,$F$15)),$E$29)*1</f>
        <v>-16.75</v>
      </c>
      <c r="L19" s="171">
        <f t="shared" si="15"/>
        <v>16</v>
      </c>
      <c r="M19" s="171" t="str">
        <f>RTD("cqg.rtd", ,"ContractData", J19,"Symbol",,"T")</f>
        <v>ZSES5K25</v>
      </c>
      <c r="AB19" s="179"/>
      <c r="AC19" s="179"/>
    </row>
    <row r="20" spans="5:29" x14ac:dyDescent="0.2">
      <c r="E20" s="179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1041.25</v>
      </c>
      <c r="G20" s="179">
        <f t="shared" si="12"/>
        <v>21.25</v>
      </c>
      <c r="I20" s="171" t="str">
        <f t="shared" si="13"/>
        <v>ZSE?5</v>
      </c>
      <c r="J20" s="171" t="str">
        <f t="shared" si="14"/>
        <v>ZSES5??5</v>
      </c>
      <c r="K20" s="171">
        <f>TEXT(IF(LEFT(M20,3)="768",NA(),RTD("cqg.rtd",,"StudyData", "Close("&amp;$J20&amp;")when (LocalMonth("&amp;$J20&amp;")="&amp;$A$16&amp;" and LocalDay("&amp;$J20&amp;")="&amp;$B$16&amp;" and LocalYear("&amp;$J20&amp;")="&amp;$C$16&amp;")", "Bar", "", "Close",$D$16, "0","ALL","", "",$E$15,$F$15)),$E$29)*1</f>
        <v>-9.5</v>
      </c>
      <c r="L20" s="171">
        <f t="shared" si="15"/>
        <v>20.25</v>
      </c>
      <c r="M20" s="171" t="str">
        <f>RTD("cqg.rtd", ,"ContractData", J20,"Symbol",,"T")</f>
        <v>ZSES5N25</v>
      </c>
      <c r="U20" s="180"/>
      <c r="V20" s="180"/>
      <c r="AB20" s="179"/>
      <c r="AC20" s="179"/>
    </row>
    <row r="21" spans="5:29" x14ac:dyDescent="0.2">
      <c r="E21" s="179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1041.5</v>
      </c>
      <c r="G21" s="179">
        <f t="shared" si="12"/>
        <v>19</v>
      </c>
      <c r="I21" s="171" t="str">
        <f t="shared" si="13"/>
        <v>ZSE?6</v>
      </c>
      <c r="J21" s="171" t="str">
        <f t="shared" si="14"/>
        <v>ZSES5??6</v>
      </c>
      <c r="K21" s="171">
        <f>TEXT(IF(LEFT(M21,3)="768",NA(),RTD("cqg.rtd",,"StudyData", "Close("&amp;$J21&amp;")when (LocalMonth("&amp;$J21&amp;")="&amp;$A$16&amp;" and LocalDay("&amp;$J21&amp;")="&amp;$B$16&amp;" and LocalYear("&amp;$J21&amp;")="&amp;$C$16&amp;")", "Bar", "", "Close",$D$16, "0","ALL","", "",$E$15,$F$15)),$E$29)*1</f>
        <v>-15.5</v>
      </c>
      <c r="L21" s="171">
        <f t="shared" si="15"/>
        <v>18.75</v>
      </c>
      <c r="M21" s="171" t="str">
        <f>RTD("cqg.rtd", ,"ContractData", J21,"Symbol",,"T")</f>
        <v>ZSES5Q25</v>
      </c>
      <c r="T21" s="179"/>
      <c r="U21" s="179"/>
      <c r="V21" s="179"/>
      <c r="X21" s="179"/>
      <c r="Y21" s="179"/>
      <c r="Z21" s="179"/>
      <c r="AB21" s="179"/>
      <c r="AC21" s="179"/>
    </row>
    <row r="22" spans="5:29" x14ac:dyDescent="0.2">
      <c r="E22" s="179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1033.25</v>
      </c>
      <c r="G22" s="179">
        <f t="shared" si="12"/>
        <v>12</v>
      </c>
      <c r="I22" s="171" t="str">
        <f t="shared" si="13"/>
        <v>ZSE?7</v>
      </c>
      <c r="J22" s="171" t="str">
        <f t="shared" si="14"/>
        <v>ZSES5??7</v>
      </c>
      <c r="K22" s="171">
        <f>TEXT(IF(LEFT(M22,3)="768",NA(),RTD("cqg.rtd",,"StudyData", "Close("&amp;$J22&amp;")when (LocalMonth("&amp;$J22&amp;")="&amp;$A$16&amp;" and LocalDay("&amp;$J22&amp;")="&amp;$B$16&amp;" and LocalYear("&amp;$J22&amp;")="&amp;$C$16&amp;")", "Bar", "", "Close",$D$16, "0","ALL","", "",$E$15,$F$15)),$E$29)*1</f>
        <v>-31.5</v>
      </c>
      <c r="L22" s="171">
        <f t="shared" si="15"/>
        <v>12.25</v>
      </c>
      <c r="M22" s="171" t="str">
        <f>RTD("cqg.rtd", ,"ContractData", J22,"Symbol",,"T")</f>
        <v>ZSES5U25</v>
      </c>
      <c r="T22" s="179"/>
      <c r="U22" s="179"/>
      <c r="V22" s="179"/>
      <c r="X22" s="179"/>
      <c r="Y22" s="179"/>
      <c r="Z22" s="179"/>
      <c r="AB22" s="179"/>
      <c r="AC22" s="179"/>
    </row>
    <row r="23" spans="5:29" x14ac:dyDescent="0.2">
      <c r="E23" s="179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1035.75</v>
      </c>
      <c r="G23" s="179">
        <f t="shared" si="12"/>
        <v>7.25</v>
      </c>
      <c r="I23" s="171" t="str">
        <f t="shared" si="13"/>
        <v>ZSE?8</v>
      </c>
      <c r="J23" s="171" t="str">
        <f t="shared" si="14"/>
        <v>ZSES5??8</v>
      </c>
      <c r="K23" s="171">
        <f>TEXT(IF(LEFT(M23,3)="768",NA(),RTD("cqg.rtd",,"StudyData", "Close("&amp;$J23&amp;")when (LocalMonth("&amp;$J23&amp;")="&amp;$A$16&amp;" and LocalDay("&amp;$J23&amp;")="&amp;$B$16&amp;" and LocalYear("&amp;$J23&amp;")="&amp;$C$16&amp;")", "Bar", "", "Close",$D$16, "0","ALL","", "",$E$15,$F$15)),$E$29)*1</f>
        <v>-23.5</v>
      </c>
      <c r="L23" s="171" t="e">
        <f t="shared" si="15"/>
        <v>#VALUE!</v>
      </c>
      <c r="M23" s="171" t="str">
        <f>RTD("cqg.rtd", ,"ContractData", J23,"Symbol",,"T")</f>
        <v>ZSES5X25</v>
      </c>
      <c r="T23" s="179"/>
      <c r="U23" s="179"/>
      <c r="V23" s="179"/>
      <c r="X23" s="179"/>
      <c r="Y23" s="179"/>
      <c r="Z23" s="179"/>
      <c r="AB23" s="179"/>
      <c r="AC23" s="179"/>
    </row>
    <row r="24" spans="5:29" x14ac:dyDescent="0.2">
      <c r="E24" s="179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1047.25</v>
      </c>
      <c r="G24" s="179">
        <f t="shared" si="12"/>
        <v>5</v>
      </c>
      <c r="I24" s="171" t="str">
        <f t="shared" si="13"/>
        <v>ZSE?9</v>
      </c>
      <c r="J24" s="171" t="str">
        <f t="shared" si="14"/>
        <v>ZSES5??9</v>
      </c>
      <c r="K24" s="171">
        <f>TEXT(IF(LEFT(M24,3)="768",NA(),RTD("cqg.rtd",,"StudyData", "Close("&amp;$J24&amp;")when (LocalMonth("&amp;$J24&amp;")="&amp;$A$16&amp;" and LocalDay("&amp;$J24&amp;")="&amp;$B$16&amp;" and LocalYear("&amp;$J24&amp;")="&amp;$C$16&amp;")", "Bar", "", "Close",$D$16, "0","ALL","", "",$E$15,$F$15)),$E$29)*1</f>
        <v>-0.75</v>
      </c>
      <c r="L24" s="171" t="e">
        <f t="shared" si="15"/>
        <v>#VALUE!</v>
      </c>
      <c r="M24" s="171" t="str">
        <f>RTD("cqg.rtd", ,"ContractData", J24,"Symbol",,"T")</f>
        <v>ZSES5F26</v>
      </c>
      <c r="T24" s="179"/>
      <c r="U24" s="179"/>
      <c r="V24" s="179"/>
      <c r="X24" s="179"/>
      <c r="Y24" s="179"/>
      <c r="Z24" s="179"/>
      <c r="AB24" s="179"/>
      <c r="AC24" s="179"/>
    </row>
    <row r="25" spans="5:29" x14ac:dyDescent="0.2">
      <c r="E25" s="179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1050.75</v>
      </c>
      <c r="G25" s="179">
        <f t="shared" si="12"/>
        <v>1</v>
      </c>
      <c r="I25" s="171" t="str">
        <f t="shared" si="13"/>
        <v>ZSE?10</v>
      </c>
      <c r="J25" s="171" t="str">
        <f t="shared" si="14"/>
        <v>ZSES5??10</v>
      </c>
      <c r="K25" s="171">
        <f>TEXT(IF(LEFT(M25,3)="768",NA(),RTD("cqg.rtd",,"StudyData", "Close("&amp;$J25&amp;")when (LocalMonth("&amp;$J25&amp;")="&amp;$A$16&amp;" and LocalDay("&amp;$J25&amp;")="&amp;$B$16&amp;" and LocalYear("&amp;$J25&amp;")="&amp;$C$16&amp;")", "Bar", "", "Close",$D$16, "0","ALL","", "",$E$15,$F$15)),$E$29)*1</f>
        <v>0.25</v>
      </c>
      <c r="L25" s="171">
        <f t="shared" si="15"/>
        <v>3.88</v>
      </c>
      <c r="M25" s="171" t="str">
        <f>RTD("cqg.rtd", ,"ContractData", J25,"Symbol",,"T")</f>
        <v>ZSES5H26</v>
      </c>
      <c r="T25" s="179"/>
      <c r="U25" s="179"/>
      <c r="V25" s="179"/>
      <c r="X25" s="179"/>
      <c r="Y25" s="179"/>
      <c r="Z25" s="179"/>
    </row>
    <row r="26" spans="5:29" x14ac:dyDescent="0.2">
      <c r="E26" s="179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1057</v>
      </c>
      <c r="G26" s="179">
        <f t="shared" si="12"/>
        <v>0</v>
      </c>
      <c r="I26" s="171" t="str">
        <f t="shared" si="13"/>
        <v>ZSE?11</v>
      </c>
      <c r="J26" s="171" t="str">
        <f t="shared" si="14"/>
        <v>ZSES5??11</v>
      </c>
      <c r="K26" s="171" t="e">
        <f>TEXT(IF(LEFT(M26,3)="768",NA(),RTD("cqg.rtd",,"StudyData", "Close("&amp;$J26&amp;")when (LocalMonth("&amp;$J26&amp;")="&amp;$A$16&amp;" and LocalDay("&amp;$J26&amp;")="&amp;$B$16&amp;" and LocalYear("&amp;$J26&amp;")="&amp;$C$16&amp;")", "Bar", "", "Close",$D$16, "0","ALL","", "",$E$15,$F$15)),$E$29)*1</f>
        <v>#VALUE!</v>
      </c>
      <c r="L26" s="171" t="e">
        <f t="shared" si="15"/>
        <v>#VALUE!</v>
      </c>
      <c r="M26" s="171" t="str">
        <f>RTD("cqg.rtd", ,"ContractData", J26,"Symbol",,"T")</f>
        <v>ZSES5K26</v>
      </c>
      <c r="T26" s="179"/>
      <c r="U26" s="179"/>
      <c r="V26" s="179"/>
      <c r="X26" s="179"/>
      <c r="Y26" s="179"/>
      <c r="Z26" s="179"/>
    </row>
    <row r="27" spans="5:29" x14ac:dyDescent="0.2">
      <c r="E27" s="179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1064.75</v>
      </c>
      <c r="G27" s="179">
        <f t="shared" si="12"/>
        <v>-0.25</v>
      </c>
      <c r="I27" s="171" t="str">
        <f t="shared" si="13"/>
        <v>ZSE?12</v>
      </c>
      <c r="J27" s="171" t="str">
        <f t="shared" si="14"/>
        <v>ZSES5??12</v>
      </c>
      <c r="K27" s="171" t="e">
        <f>TEXT(IF(LEFT(M27,3)="768",NA(),RTD("cqg.rtd",,"StudyData", "Close("&amp;$J27&amp;")when (LocalMonth("&amp;$J27&amp;")="&amp;$A$16&amp;" and LocalDay("&amp;$J27&amp;")="&amp;$B$16&amp;" and LocalYear("&amp;$J27&amp;")="&amp;$C$16&amp;")", "Bar", "", "Close",$D$16, "0","ALL","", "",$E$15,$F$15)),$E$29)*1</f>
        <v>#VALUE!</v>
      </c>
      <c r="L27" s="171" t="e">
        <f t="shared" si="15"/>
        <v>#VALUE!</v>
      </c>
      <c r="M27" s="171" t="str">
        <f>RTD("cqg.rtd", ,"ContractData", J27,"Symbol",,"T")</f>
        <v>ZSES5N26</v>
      </c>
      <c r="T27" s="179"/>
      <c r="U27" s="179"/>
      <c r="V27" s="179"/>
      <c r="X27" s="179"/>
      <c r="Y27" s="179"/>
      <c r="Z27" s="179"/>
    </row>
    <row r="28" spans="5:29" x14ac:dyDescent="0.2">
      <c r="T28" s="179"/>
      <c r="U28" s="179"/>
      <c r="V28" s="179"/>
      <c r="X28" s="179"/>
      <c r="Y28" s="179"/>
      <c r="Z28" s="179"/>
    </row>
    <row r="29" spans="5:29" x14ac:dyDescent="0.2">
      <c r="E29" s="171" t="str">
        <f>Main!$D$1</f>
        <v>#.00</v>
      </c>
      <c r="T29" s="179"/>
      <c r="U29" s="179"/>
      <c r="V29" s="179"/>
      <c r="X29" s="179"/>
      <c r="Y29" s="179"/>
      <c r="Z29" s="179"/>
    </row>
    <row r="30" spans="5:29" x14ac:dyDescent="0.2">
      <c r="T30" s="179"/>
      <c r="U30" s="179"/>
      <c r="V30" s="179"/>
      <c r="X30" s="179"/>
      <c r="Y30" s="179"/>
      <c r="Z30" s="179"/>
    </row>
    <row r="31" spans="5:29" x14ac:dyDescent="0.2">
      <c r="T31" s="179"/>
      <c r="U31" s="179"/>
      <c r="V31" s="179"/>
      <c r="X31" s="179"/>
      <c r="Y31" s="179"/>
      <c r="Z31" s="179"/>
    </row>
    <row r="32" spans="5:29" x14ac:dyDescent="0.2">
      <c r="R32" s="171" t="s">
        <v>43</v>
      </c>
      <c r="T32" s="179"/>
      <c r="U32" s="179"/>
      <c r="V32" s="179"/>
      <c r="X32" s="179"/>
      <c r="Y32" s="179"/>
      <c r="Z32" s="179"/>
    </row>
    <row r="33" spans="18:26" x14ac:dyDescent="0.2">
      <c r="T33" s="179"/>
      <c r="U33" s="179"/>
      <c r="V33" s="179"/>
    </row>
    <row r="34" spans="18:26" x14ac:dyDescent="0.2">
      <c r="R34" s="171" t="s">
        <v>6</v>
      </c>
      <c r="T34" s="179"/>
      <c r="U34" s="179"/>
      <c r="V34" s="179"/>
      <c r="X34" s="179"/>
      <c r="Y34" s="179"/>
      <c r="Z34" s="171" t="s">
        <v>17</v>
      </c>
    </row>
    <row r="35" spans="18:26" x14ac:dyDescent="0.2">
      <c r="R35" s="171">
        <v>1</v>
      </c>
      <c r="S35" s="171" t="str">
        <f>RTD("cqg.rtd",,"ContractData",Q1&amp;"?1", "Symbol")</f>
        <v>ZSEX24</v>
      </c>
      <c r="T35" s="179"/>
      <c r="U35" s="179"/>
      <c r="V35" s="179"/>
      <c r="X35" s="179"/>
      <c r="Y35" s="179"/>
      <c r="Z35" s="171" t="s">
        <v>18</v>
      </c>
    </row>
    <row r="36" spans="18:26" x14ac:dyDescent="0.2">
      <c r="R36" s="171">
        <f>R35+1</f>
        <v>2</v>
      </c>
      <c r="S36" s="171" t="str">
        <f>RTD("cqg.rtd",,"ContractData",Q1&amp;"?2", "Symbol")</f>
        <v>ZSEF25</v>
      </c>
      <c r="T36" s="179"/>
      <c r="U36" s="179"/>
      <c r="V36" s="179"/>
      <c r="X36" s="179"/>
      <c r="Y36" s="179"/>
      <c r="Z36" s="171" t="s">
        <v>19</v>
      </c>
    </row>
    <row r="37" spans="18:26" x14ac:dyDescent="0.2">
      <c r="R37" s="171">
        <f t="shared" ref="R37:R46" si="16">R36+1</f>
        <v>3</v>
      </c>
      <c r="T37" s="179"/>
      <c r="U37" s="179"/>
      <c r="V37" s="179"/>
      <c r="X37" s="179"/>
      <c r="Y37" s="179"/>
      <c r="Z37" s="171" t="s">
        <v>20</v>
      </c>
    </row>
    <row r="38" spans="18:26" x14ac:dyDescent="0.2">
      <c r="R38" s="171">
        <f t="shared" si="16"/>
        <v>4</v>
      </c>
      <c r="T38" s="179"/>
      <c r="U38" s="179"/>
      <c r="V38" s="179"/>
      <c r="X38" s="179"/>
      <c r="Y38" s="179"/>
      <c r="Z38" s="171" t="s">
        <v>21</v>
      </c>
    </row>
    <row r="39" spans="18:26" x14ac:dyDescent="0.2">
      <c r="R39" s="171">
        <f t="shared" si="16"/>
        <v>5</v>
      </c>
      <c r="T39" s="179"/>
      <c r="U39" s="179"/>
      <c r="V39" s="179"/>
      <c r="X39" s="179"/>
      <c r="Y39" s="179"/>
      <c r="Z39" s="171" t="s">
        <v>22</v>
      </c>
    </row>
    <row r="40" spans="18:26" x14ac:dyDescent="0.2">
      <c r="R40" s="171">
        <f t="shared" si="16"/>
        <v>6</v>
      </c>
      <c r="T40" s="179"/>
      <c r="U40" s="179"/>
      <c r="V40" s="179"/>
      <c r="X40" s="179"/>
      <c r="Y40" s="179"/>
      <c r="Z40" s="171" t="s">
        <v>23</v>
      </c>
    </row>
    <row r="41" spans="18:26" x14ac:dyDescent="0.2">
      <c r="R41" s="171">
        <f t="shared" si="16"/>
        <v>7</v>
      </c>
      <c r="T41" s="179"/>
      <c r="U41" s="179"/>
      <c r="V41" s="179"/>
      <c r="X41" s="179"/>
      <c r="Y41" s="179"/>
      <c r="Z41" s="171" t="s">
        <v>24</v>
      </c>
    </row>
    <row r="42" spans="18:26" x14ac:dyDescent="0.2">
      <c r="R42" s="171">
        <f t="shared" si="16"/>
        <v>8</v>
      </c>
      <c r="T42" s="179"/>
      <c r="U42" s="179"/>
      <c r="V42" s="179"/>
      <c r="X42" s="179"/>
      <c r="Y42" s="179"/>
      <c r="Z42" s="171" t="s">
        <v>25</v>
      </c>
    </row>
    <row r="43" spans="18:26" x14ac:dyDescent="0.2">
      <c r="R43" s="171">
        <f t="shared" si="16"/>
        <v>9</v>
      </c>
      <c r="T43" s="179"/>
      <c r="U43" s="179"/>
      <c r="V43" s="179"/>
      <c r="X43" s="179"/>
      <c r="Y43" s="179"/>
      <c r="Z43" s="171" t="s">
        <v>26</v>
      </c>
    </row>
    <row r="44" spans="18:26" x14ac:dyDescent="0.2">
      <c r="R44" s="171">
        <f t="shared" si="16"/>
        <v>10</v>
      </c>
      <c r="T44" s="179"/>
      <c r="U44" s="179"/>
      <c r="V44" s="179"/>
    </row>
    <row r="45" spans="18:26" x14ac:dyDescent="0.2">
      <c r="R45" s="171">
        <f t="shared" si="16"/>
        <v>11</v>
      </c>
    </row>
    <row r="46" spans="18:26" x14ac:dyDescent="0.2">
      <c r="R46" s="171">
        <f t="shared" si="16"/>
        <v>12</v>
      </c>
      <c r="Z46" s="179"/>
    </row>
  </sheetData>
  <sheetProtection algorithmName="SHA-512" hashValue="cgcHUDkTPiUykk+akuE8hFvix0EXzi+ILlE8Frpl47khBt8bL1gQPMyb9CK+R6TJgk62eHpw/DTwjbXIo3tAXw==" saltValue="PG4Qc7iWcPJLD6/UZkfO7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E962-D0CB-41B5-8506-DDEECE69D2E3}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171"/>
    <col min="18" max="18" width="14.375" style="171" customWidth="1"/>
    <col min="19" max="19" width="9" style="171"/>
    <col min="20" max="20" width="15.25" style="171" customWidth="1"/>
    <col min="21" max="21" width="17.75" style="171" customWidth="1"/>
    <col min="22" max="22" width="11.25" style="171" customWidth="1"/>
    <col min="23" max="23" width="40" style="171" customWidth="1"/>
    <col min="24" max="24" width="12.875" style="171" customWidth="1"/>
    <col min="25" max="16384" width="9" style="171"/>
  </cols>
  <sheetData>
    <row r="1" spans="1:38" x14ac:dyDescent="0.2">
      <c r="A1" s="170"/>
      <c r="B1" s="170"/>
      <c r="C1" s="170" t="s">
        <v>2</v>
      </c>
      <c r="D1" s="171">
        <v>6</v>
      </c>
      <c r="E1" s="171">
        <v>2</v>
      </c>
      <c r="F1" s="171">
        <v>3</v>
      </c>
      <c r="G1" s="171">
        <v>4</v>
      </c>
      <c r="H1" s="171">
        <v>5</v>
      </c>
      <c r="I1" s="171">
        <v>6</v>
      </c>
      <c r="J1" s="171">
        <v>7</v>
      </c>
      <c r="K1" s="171">
        <v>8</v>
      </c>
      <c r="L1" s="171">
        <v>9</v>
      </c>
      <c r="M1" s="171">
        <v>10</v>
      </c>
      <c r="N1" s="171">
        <v>11</v>
      </c>
      <c r="O1" s="171">
        <v>12</v>
      </c>
      <c r="P1" s="172"/>
      <c r="Q1" s="173" t="str">
        <f>Main!$B$4</f>
        <v>ZSE</v>
      </c>
      <c r="R1" s="174" t="s">
        <v>3</v>
      </c>
      <c r="S1" s="174" t="s">
        <v>0</v>
      </c>
      <c r="T1" s="174" t="s">
        <v>1</v>
      </c>
      <c r="U1" s="172" t="s">
        <v>4</v>
      </c>
      <c r="V1" s="172"/>
      <c r="W1" s="174" t="s">
        <v>3</v>
      </c>
      <c r="X1" s="172" t="s">
        <v>4</v>
      </c>
      <c r="Y1" s="174" t="s">
        <v>0</v>
      </c>
      <c r="Z1" s="174" t="s">
        <v>1</v>
      </c>
      <c r="AA1" s="172" t="s">
        <v>5</v>
      </c>
      <c r="AB1" s="172" t="s">
        <v>5</v>
      </c>
      <c r="AC1" s="175"/>
      <c r="AD1" s="172" t="s">
        <v>5</v>
      </c>
    </row>
    <row r="2" spans="1:38" x14ac:dyDescent="0.2">
      <c r="A2" s="170" t="str">
        <f>Q2</f>
        <v>ZSEX24</v>
      </c>
      <c r="B2" s="170" t="str">
        <f>RTD("cqg.rtd", ,"ContractData",A2, "ContractMonth")</f>
        <v>NOV</v>
      </c>
      <c r="C2" s="176" t="str">
        <f>IF(B2="Jan","F",IF(B2="Feb","G",IF(B2="Mar","H",IF(B2="Apr","J",IF(B2="May","K",IF(B2="JUN","M",IF(B2="Jul","N",IF(B2="Aug","Q",IF(B2="Sep","U",IF(B2="Oct","V",IF(B2="Nov","X",IF(B2="Dec","Z"))))))))))))&amp;RIGHT(A2,1)</f>
        <v>X4</v>
      </c>
      <c r="D2" s="171" t="str">
        <f>$Q$1&amp;$C$1&amp;$D$1&amp;$C2</f>
        <v>ZSES6X4</v>
      </c>
      <c r="E2" s="171" t="str">
        <f>$Q$1&amp;$C$1&amp;$D$1&amp;$C3</f>
        <v>ZSES6F5</v>
      </c>
      <c r="F2" s="171" t="str">
        <f>$Q$1&amp;$C$1&amp;$D$1&amp;$C4</f>
        <v>ZSES6H5</v>
      </c>
      <c r="G2" s="171" t="str">
        <f>$Q$1&amp;$C$1&amp;$D$1&amp;$C5</f>
        <v>ZSES6K5</v>
      </c>
      <c r="H2" s="171" t="str">
        <f>$Q$1&amp;$C$1&amp;$D$1&amp;$C6</f>
        <v>ZSES6N5</v>
      </c>
      <c r="I2" s="171" t="str">
        <f>$Q$1&amp;$C$1&amp;$D$1&amp;$C7</f>
        <v>ZSES6Q5</v>
      </c>
      <c r="J2" s="171" t="str">
        <f>$Q$1&amp;$C$1&amp;$D$1&amp;$C8</f>
        <v>ZSES6U5</v>
      </c>
      <c r="K2" s="171" t="str">
        <f>$Q$1&amp;$C$1&amp;$D$1&amp;$C9</f>
        <v>ZSES6X5</v>
      </c>
      <c r="L2" s="171" t="str">
        <f>$Q$1&amp;$C$1&amp;$D$1&amp;$C10</f>
        <v>ZSES6F6</v>
      </c>
      <c r="M2" s="171" t="str">
        <f>$Q$1&amp;$C$1&amp;$D$1&amp;$C11</f>
        <v>ZSES6H6</v>
      </c>
      <c r="N2" s="171" t="str">
        <f>$Q$1&amp;$C$1&amp;$D$1&amp;$C12</f>
        <v>ZSES6K6</v>
      </c>
      <c r="O2" s="171" t="str">
        <f>$Q$1&amp;$C$1&amp;$D$1&amp;$C13</f>
        <v>ZSES6N6</v>
      </c>
      <c r="P2" s="172" t="str">
        <f>LEFT(RIGHT(Q2,2),1)</f>
        <v>2</v>
      </c>
      <c r="Q2" s="177" t="str">
        <f>RTD("cqg.rtd", ,"ContractData", $Q$1&amp;"?"&amp;R35, "Symbol")</f>
        <v>ZSEX24</v>
      </c>
      <c r="R2" s="178">
        <f>RTD("cqg.rtd", ,"ContractData", Q2, $R$1,,"T")</f>
        <v>1017.25</v>
      </c>
      <c r="S2" s="178">
        <f>RTD("cqg.rtd", ,"ContractData", Q2,$S$1,,"T")</f>
        <v>1014.5</v>
      </c>
      <c r="T2" s="178">
        <f>RTD("cqg.rtd", ,"ContractData", Q2,$T$1,,"T")</f>
        <v>1016</v>
      </c>
      <c r="U2" s="175">
        <f>RTD("cqg.rtd", ,"ContractData", "F."&amp;$Q$1&amp;"?1", $U$1,,"T")</f>
        <v>-0.75</v>
      </c>
      <c r="V2" s="172" t="str">
        <f>D2</f>
        <v>ZSES6X4</v>
      </c>
      <c r="W2" s="175" t="str">
        <f>RTD("cqg.rtd", ,"ContractData", V2, $W$1,,"T")</f>
        <v/>
      </c>
      <c r="X2" s="175">
        <f>RTD("cqg.rtd", ,"ContractData", V2, $X$1,,"T")</f>
        <v>2</v>
      </c>
      <c r="Y2" s="175">
        <f>RTD("cqg.rtd", ,"ContractData",V2,$Y$1,,"T")</f>
        <v>-35.25</v>
      </c>
      <c r="Z2" s="175">
        <f>RTD("cqg.rtd", ,"ContractData", V2,$Z$1,,"T")</f>
        <v>-28.5</v>
      </c>
      <c r="AA2" s="175">
        <f>IF(OR(W2="",W2&lt;Y2,W2&gt;Z2),(Y2+Z2)/2,W2)</f>
        <v>-31.875</v>
      </c>
      <c r="AB2" s="175">
        <f t="shared" ref="AB2:AB13" si="0">IF(OR(S2="",T2=""),R2,(IF(OR(R2="",R2&lt;S2,R2&gt;T2),(S2+T2)/2,R2)))</f>
        <v>1015.25</v>
      </c>
      <c r="AC2" s="175">
        <f>IF(OR(R2="",R2&lt;S2,R2&gt;T2),(S2+T2)/2,R2)</f>
        <v>1015.25</v>
      </c>
      <c r="AD2" s="175">
        <f>IF(OR(Y2="",Z2=""),W2,(IF(OR(W2="",W2&lt;Y2,W2&gt;Z2),(Y2+Z2)/2,W2)))</f>
        <v>-31.875</v>
      </c>
      <c r="AF2" s="171">
        <f>IF(ISERROR(AC2),NA(),AC2)</f>
        <v>1015.25</v>
      </c>
      <c r="AG2" s="171">
        <f>TEXT(IF(LEFT(AD2,3)="768",NA(),IF(AD2="",NA(),AD2)),$E$29)*1</f>
        <v>-31.88</v>
      </c>
      <c r="AH2" s="171">
        <f>IF(P2="F","JAN",IF(P2="G","FEB",IF(P2="H","MAR",IF(P2="J","APR",IF(P2="K","MAY",IF(P2="M","JUN",IF(P2="N","JUL",IF(P2="Q","AUG",IF(P2="U","SEP",IF(P2="V","OCT",IF(P2="X","NOV",IF(P2="Z","DEC",))))))))))))</f>
        <v>0</v>
      </c>
      <c r="AI2" s="171" t="str">
        <f>IFERROR(IF(LEFT(RTD("cqg.rtd",,"ContractData",V2,"LongDescription",,"T"),3)="768","",RIGHT(LEFT(RTD("cqg.rtd", ,"ContractData",V2, "LongDescription",, "T"),LEN(RTD("cqg.rtd", ,"ContractData",V2, "LongDescription",, "T"))-1),LEN(RTD("cqg.rtd", ,"ContractData",V2, "LongDescription",, "T"))-FIND(LEFT(V2,3),RTD("cqg.rtd", ,"ContractData",V2, "LongDescription",, "T"))+2)),"")</f>
        <v>1*ZSEX24-1*ZSEU25</v>
      </c>
      <c r="AJ2" s="171">
        <f>RTD("cqg.rtd", ,"ContractData",Q2, "Settlement",,"T")</f>
        <v>1016.75</v>
      </c>
      <c r="AK2" s="171">
        <f>RTD("cqg.rtd", ,"ContractData",V2, "Settlement",,"T")</f>
        <v>-37.25</v>
      </c>
      <c r="AL2" s="171">
        <f>IF(AJ2="",NA(),AJ2)</f>
        <v>1016.75</v>
      </c>
    </row>
    <row r="3" spans="1:38" x14ac:dyDescent="0.2">
      <c r="A3" s="170" t="str">
        <f t="shared" ref="A3:A13" si="1">Q3</f>
        <v>ZSEF25</v>
      </c>
      <c r="B3" s="170" t="str">
        <f>RTD("cqg.rtd", ,"ContractData",A3, "ContractMonth")</f>
        <v>JAN</v>
      </c>
      <c r="C3" s="176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F5</v>
      </c>
      <c r="D3" s="171" t="str">
        <f t="shared" ref="D3:D13" si="3">$Q$1&amp;$C$1&amp;$D$1&amp;$C3</f>
        <v>ZSES6F5</v>
      </c>
      <c r="P3" s="172" t="str">
        <f t="shared" ref="P3:P13" si="4">LEFT(RIGHT(Q3,2),1)</f>
        <v>2</v>
      </c>
      <c r="Q3" s="177" t="str">
        <f>IF(LEFT(RTD("cqg.rtd",,"ContractData",$Q$1&amp;"?"&amp;R36,"Symbol"),LEN($Q$1))=LEFT(RTD("cqg.rtd",,"ContractData",$Q$1&amp;"?"&amp;$R$35,"Symbol"),LEN($Q$1)),RTD("cqg.rtd",,"ContractData",$Q$1&amp;"?"&amp;R36,"Symbol"),NA())</f>
        <v>ZSEF25</v>
      </c>
      <c r="R3" s="178">
        <f>RTD("cqg.rtd", ,"ContractData", Q3, $R$1,,"T")</f>
        <v>1027.25</v>
      </c>
      <c r="S3" s="178">
        <f>RTD("cqg.rtd", ,"ContractData", Q3,$S$1,,"T")</f>
        <v>1027</v>
      </c>
      <c r="T3" s="178">
        <f>RTD("cqg.rtd", ,"ContractData", Q3,$T$1,,"T")</f>
        <v>1027.25</v>
      </c>
      <c r="U3" s="175">
        <f>RTD("cqg.rtd", ,"ContractData", "F."&amp;$Q$1&amp;"?2",  $U$1,,"T")</f>
        <v>-3</v>
      </c>
      <c r="V3" s="172" t="str">
        <f>E2</f>
        <v>ZSES6F5</v>
      </c>
      <c r="W3" s="175">
        <f>RTD("cqg.rtd", ,"ContractData", V3, $W$1,,"T")</f>
        <v>-15.75</v>
      </c>
      <c r="X3" s="175">
        <f>RTD("cqg.rtd", ,"ContractData", V3, $X$1,,"T")</f>
        <v>6.5</v>
      </c>
      <c r="Y3" s="175">
        <f>RTD("cqg.rtd", ,"ContractData",V3,$Y$1,,"T")</f>
        <v>-16</v>
      </c>
      <c r="Z3" s="175">
        <f>RTD("cqg.rtd", ,"ContractData", V3,$Z$1,,"T")</f>
        <v>-15.75</v>
      </c>
      <c r="AA3" s="175">
        <f t="shared" ref="AA3:AA13" si="5">IF(OR(W3="",W3&lt;Y3,W3&gt;Z3),(Y3+Z3)/2,W3)</f>
        <v>-15.75</v>
      </c>
      <c r="AB3" s="175">
        <f t="shared" si="0"/>
        <v>1027.25</v>
      </c>
      <c r="AC3" s="175">
        <f>IF(OR(R3="",R3&lt;S3,R3&gt;T3),(S3+T3)/2,R3)</f>
        <v>1027.25</v>
      </c>
      <c r="AD3" s="175">
        <f t="shared" ref="AD3:AD13" si="6">IF(OR(Y3="",Z3=""),W3,(IF(OR(W3="",W3&lt;Y3,W3&gt;Z3),(Y3+Z3)/2,W3)))</f>
        <v>-15.75</v>
      </c>
      <c r="AF3" s="171">
        <f t="shared" ref="AF3:AF13" si="7">IF(ISERROR(AC3),NA(),AC3)</f>
        <v>1027.25</v>
      </c>
      <c r="AG3" s="171">
        <f t="shared" ref="AG3:AG13" si="8">TEXT(IF(LEFT(AD3,3)="768",NA(),IF(AD3="",NA(),AD3)),$E$29)*1</f>
        <v>-15.75</v>
      </c>
      <c r="AH3" s="171">
        <f t="shared" ref="AH3:AH13" si="9">IF(P3="F","JAN",IF(P3="G","FEB",IF(P3="H","MAR",IF(P3="J","APR",IF(P3="K","MAY",IF(P3="M","JUN",IF(P3="N","JUL",IF(P3="Q","AUG",IF(P3="U","SEP",IF(P3="V","OCT",IF(P3="X","NOV",IF(P3="Z","DEC",))))))))))))</f>
        <v>0</v>
      </c>
      <c r="AI3" s="171" t="str">
        <f>IFERROR(IF(LEFT(RTD("cqg.rtd",,"ContractData",V3,"LongDescription",,"T"),3)="768","",RIGHT(LEFT(RTD("cqg.rtd", ,"ContractData",V3, "LongDescription",, "T"),LEN(RTD("cqg.rtd", ,"ContractData",V3, "LongDescription",, "T"))-1),LEN(RTD("cqg.rtd", ,"ContractData",V3, "LongDescription",, "T"))-FIND(LEFT(V3,3),RTD("cqg.rtd", ,"ContractData",V3, "LongDescription",, "T"))+2)),"")</f>
        <v>1*ZSEF25-1*ZSEX25</v>
      </c>
      <c r="AJ3" s="171">
        <f>RTD("cqg.rtd", ,"ContractData",Q3, "Settlement",,"T")</f>
        <v>1030.25</v>
      </c>
      <c r="AK3" s="171">
        <f>RTD("cqg.rtd", ,"ContractData",V3, "Settlement",,"T")</f>
        <v>-22.25</v>
      </c>
      <c r="AL3" s="171">
        <f t="shared" ref="AL3:AL13" si="10">IF(AJ3="",NA(),AJ3)</f>
        <v>1030.25</v>
      </c>
    </row>
    <row r="4" spans="1:38" x14ac:dyDescent="0.2">
      <c r="A4" s="170" t="str">
        <f t="shared" si="1"/>
        <v>ZSEH25</v>
      </c>
      <c r="B4" s="170" t="str">
        <f>RTD("cqg.rtd", ,"ContractData",A4, "ContractMonth")</f>
        <v>MAR</v>
      </c>
      <c r="C4" s="176" t="str">
        <f t="shared" si="2"/>
        <v>H5</v>
      </c>
      <c r="D4" s="171" t="str">
        <f t="shared" si="3"/>
        <v>ZSES6H5</v>
      </c>
      <c r="P4" s="172" t="str">
        <f t="shared" si="4"/>
        <v>2</v>
      </c>
      <c r="Q4" s="177" t="str">
        <f>IF(LEFT(RTD("cqg.rtd",,"ContractData",$Q$1&amp;"?"&amp;R37,"Symbol"),LEN($Q$1))=LEFT(RTD("cqg.rtd",,"ContractData",$Q$1&amp;"?"&amp;$R$35,"Symbol"),LEN($Q$1)),RTD("cqg.rtd",,"ContractData",$Q$1&amp;"?"&amp;R37,"Symbol"),NA())</f>
        <v>ZSEH25</v>
      </c>
      <c r="R4" s="178">
        <f>RTD("cqg.rtd", ,"ContractData", Q4, $R$1,,"T")</f>
        <v>1039</v>
      </c>
      <c r="S4" s="178">
        <f>RTD("cqg.rtd", ,"ContractData", Q4,$S$1,,"T")</f>
        <v>1038.75</v>
      </c>
      <c r="T4" s="178">
        <f>RTD("cqg.rtd", ,"ContractData", Q4,$T$1,,"T")</f>
        <v>1039</v>
      </c>
      <c r="U4" s="175">
        <f>RTD("cqg.rtd", ,"ContractData", "F."&amp;$Q$1&amp;"?3",  $U$1,,"T")</f>
        <v>-4.5</v>
      </c>
      <c r="V4" s="172" t="str">
        <f>F2</f>
        <v>ZSES6H5</v>
      </c>
      <c r="W4" s="175">
        <f>RTD("cqg.rtd", ,"ContractData", V4, $W$1,,"T")</f>
        <v>-11.25</v>
      </c>
      <c r="X4" s="175">
        <f>RTD("cqg.rtd", ,"ContractData", V4, $X$1,,"T")</f>
        <v>5.5</v>
      </c>
      <c r="Y4" s="175">
        <f>RTD("cqg.rtd", ,"ContractData",V4,$Y$1,,"T")</f>
        <v>-13.75</v>
      </c>
      <c r="Z4" s="175">
        <f>RTD("cqg.rtd", ,"ContractData", V4,$Z$1,,"T")</f>
        <v>-12.75</v>
      </c>
      <c r="AA4" s="175">
        <f t="shared" si="5"/>
        <v>-13.25</v>
      </c>
      <c r="AB4" s="175">
        <f t="shared" si="0"/>
        <v>1039</v>
      </c>
      <c r="AC4" s="175">
        <f t="shared" ref="AC4:AC13" si="11">IF(OR(R4="",R4&lt;S4,R4&gt;T4),(S4+T4)/2,R4)</f>
        <v>1039</v>
      </c>
      <c r="AD4" s="175">
        <f t="shared" si="6"/>
        <v>-13.25</v>
      </c>
      <c r="AF4" s="171">
        <f t="shared" si="7"/>
        <v>1039</v>
      </c>
      <c r="AG4" s="171">
        <f t="shared" si="8"/>
        <v>-13.25</v>
      </c>
      <c r="AH4" s="171">
        <f t="shared" si="9"/>
        <v>0</v>
      </c>
      <c r="AI4" s="171" t="str">
        <f>IFERROR(IF(LEFT(RTD("cqg.rtd",,"ContractData",V4,"LongDescription",,"T"),3)="768","",RIGHT(LEFT(RTD("cqg.rtd", ,"ContractData",V4, "LongDescription",, "T"),LEN(RTD("cqg.rtd", ,"ContractData",V4, "LongDescription",, "T"))-1),LEN(RTD("cqg.rtd", ,"ContractData",V4, "LongDescription",, "T"))-FIND(LEFT(V4,3),RTD("cqg.rtd", ,"ContractData",V4, "LongDescription",, "T"))+2)),"")</f>
        <v>1*ZSEH25-1*ZSEF26</v>
      </c>
      <c r="AJ4" s="171">
        <f>RTD("cqg.rtd", ,"ContractData",Q4, "Settlement",,"T")</f>
        <v>1043.5</v>
      </c>
      <c r="AK4" s="171">
        <f>RTD("cqg.rtd", ,"ContractData",V4, "Settlement",,"T")</f>
        <v>-18.25</v>
      </c>
      <c r="AL4" s="171">
        <f t="shared" si="10"/>
        <v>1043.5</v>
      </c>
    </row>
    <row r="5" spans="1:38" x14ac:dyDescent="0.2">
      <c r="A5" s="170" t="str">
        <f t="shared" si="1"/>
        <v>ZSEK25</v>
      </c>
      <c r="B5" s="170" t="str">
        <f>RTD("cqg.rtd", ,"ContractData",A5, "ContractMonth")</f>
        <v>MAY</v>
      </c>
      <c r="C5" s="176" t="str">
        <f t="shared" si="2"/>
        <v>K5</v>
      </c>
      <c r="D5" s="171" t="str">
        <f t="shared" si="3"/>
        <v>ZSES6K5</v>
      </c>
      <c r="P5" s="172" t="str">
        <f t="shared" si="4"/>
        <v>2</v>
      </c>
      <c r="Q5" s="177" t="str">
        <f>IF(LEFT(RTD("cqg.rtd",,"ContractData",$Q$1&amp;"?"&amp;R38,"Symbol"),LEN($Q$1))=LEFT(RTD("cqg.rtd",,"ContractData",$Q$1&amp;"?"&amp;$R$35,"Symbol"),LEN($Q$1)),RTD("cqg.rtd",,"ContractData",$Q$1&amp;"?"&amp;R38,"Symbol"),NA())</f>
        <v>ZSEK25</v>
      </c>
      <c r="R5" s="178">
        <f>RTD("cqg.rtd", ,"ContractData", Q5, $R$1,,"T")</f>
        <v>1051.25</v>
      </c>
      <c r="S5" s="178">
        <f>RTD("cqg.rtd", ,"ContractData", Q5,$S$1,,"T")</f>
        <v>1051.25</v>
      </c>
      <c r="T5" s="178">
        <f>RTD("cqg.rtd", ,"ContractData", Q5,$T$1,,"T")</f>
        <v>1051.75</v>
      </c>
      <c r="U5" s="175">
        <f>RTD("cqg.rtd", ,"ContractData", "F."&amp;$Q$1&amp;"?4",  $U$1,,"T")</f>
        <v>-5</v>
      </c>
      <c r="V5" s="172" t="str">
        <f>G2</f>
        <v>ZSES6K5</v>
      </c>
      <c r="W5" s="175">
        <f>RTD("cqg.rtd", ,"ContractData", V5, $W$1,,"T")</f>
        <v>-2.5</v>
      </c>
      <c r="X5" s="175">
        <f>RTD("cqg.rtd", ,"ContractData", V5, $X$1,,"T")</f>
        <v>5.5</v>
      </c>
      <c r="Y5" s="175">
        <f>RTD("cqg.rtd", ,"ContractData",V5,$Y$1,,"T")</f>
        <v>-1</v>
      </c>
      <c r="Z5" s="175">
        <f>RTD("cqg.rtd", ,"ContractData", V5,$Z$1,,"T")</f>
        <v>0.5</v>
      </c>
      <c r="AA5" s="175">
        <f t="shared" si="5"/>
        <v>-0.25</v>
      </c>
      <c r="AB5" s="175">
        <f t="shared" si="0"/>
        <v>1051.25</v>
      </c>
      <c r="AC5" s="175">
        <f t="shared" si="11"/>
        <v>1051.25</v>
      </c>
      <c r="AD5" s="175">
        <f t="shared" si="6"/>
        <v>-0.25</v>
      </c>
      <c r="AF5" s="171">
        <f t="shared" si="7"/>
        <v>1051.25</v>
      </c>
      <c r="AG5" s="171">
        <f t="shared" si="8"/>
        <v>-0.25</v>
      </c>
      <c r="AH5" s="171">
        <f t="shared" si="9"/>
        <v>0</v>
      </c>
      <c r="AI5" s="171" t="str">
        <f>IFERROR(IF(LEFT(RTD("cqg.rtd",,"ContractData",V5,"LongDescription",,"T"),3)="768","",RIGHT(LEFT(RTD("cqg.rtd", ,"ContractData",V5, "LongDescription",, "T"),LEN(RTD("cqg.rtd", ,"ContractData",V5, "LongDescription",, "T"))-1),LEN(RTD("cqg.rtd", ,"ContractData",V5, "LongDescription",, "T"))-FIND(LEFT(V5,3),RTD("cqg.rtd", ,"ContractData",V5, "LongDescription",, "T"))+2)),"")</f>
        <v>1*ZSEK25-1*ZSEH26</v>
      </c>
      <c r="AJ5" s="171">
        <f>RTD("cqg.rtd", ,"ContractData",Q5, "Settlement",,"T")</f>
        <v>1056.75</v>
      </c>
      <c r="AK5" s="171">
        <f>RTD("cqg.rtd", ,"ContractData",V5, "Settlement",,"T")</f>
        <v>-5</v>
      </c>
      <c r="AL5" s="171">
        <f t="shared" si="10"/>
        <v>1056.75</v>
      </c>
    </row>
    <row r="6" spans="1:38" x14ac:dyDescent="0.2">
      <c r="A6" s="170" t="str">
        <f t="shared" si="1"/>
        <v>ZSEN25</v>
      </c>
      <c r="B6" s="170" t="str">
        <f>RTD("cqg.rtd", ,"ContractData",A6, "ContractMonth")</f>
        <v>JUL</v>
      </c>
      <c r="C6" s="176" t="str">
        <f t="shared" si="2"/>
        <v>N5</v>
      </c>
      <c r="D6" s="171" t="str">
        <f t="shared" si="3"/>
        <v>ZSES6N5</v>
      </c>
      <c r="P6" s="172" t="str">
        <f t="shared" si="4"/>
        <v>2</v>
      </c>
      <c r="Q6" s="177" t="str">
        <f>IF(LEFT(RTD("cqg.rtd",,"ContractData",$Q$1&amp;"?"&amp;R39,"Symbol"),LEN($Q$1))=LEFT(RTD("cqg.rtd",,"ContractData",$Q$1&amp;"?"&amp;$R$35,"Symbol"),LEN($Q$1)),RTD("cqg.rtd",,"ContractData",$Q$1&amp;"?"&amp;R39,"Symbol"),NA())</f>
        <v>ZSEN25</v>
      </c>
      <c r="R6" s="178">
        <f>RTD("cqg.rtd", ,"ContractData", Q6, $R$1,,"T")</f>
        <v>1062.5</v>
      </c>
      <c r="S6" s="178">
        <f>RTD("cqg.rtd", ,"ContractData", Q6,$S$1,,"T")</f>
        <v>1062.25</v>
      </c>
      <c r="T6" s="178">
        <f>RTD("cqg.rtd", ,"ContractData", Q6,$T$1,,"T")</f>
        <v>1062.75</v>
      </c>
      <c r="U6" s="175">
        <f>RTD("cqg.rtd", ,"ContractData", "F."&amp;$Q$1&amp;"?5",  $U$1,,"T")</f>
        <v>-5.5</v>
      </c>
      <c r="V6" s="172" t="str">
        <f>H2</f>
        <v>ZSES6N5</v>
      </c>
      <c r="W6" s="175" t="str">
        <f>RTD("cqg.rtd", ,"ContractData", V6, $W$1,,"T")</f>
        <v/>
      </c>
      <c r="X6" s="175">
        <f>RTD("cqg.rtd", ,"ContractData", V6, $X$1,,"T")</f>
        <v>6</v>
      </c>
      <c r="Y6" s="175">
        <f>RTD("cqg.rtd", ,"ContractData",V6,$Y$1,,"T")</f>
        <v>4.25</v>
      </c>
      <c r="Z6" s="175">
        <f>RTD("cqg.rtd", ,"ContractData", V6,$Z$1,,"T")</f>
        <v>6.5</v>
      </c>
      <c r="AA6" s="175">
        <f t="shared" si="5"/>
        <v>5.375</v>
      </c>
      <c r="AB6" s="175">
        <f t="shared" si="0"/>
        <v>1062.5</v>
      </c>
      <c r="AC6" s="175">
        <f t="shared" si="11"/>
        <v>1062.5</v>
      </c>
      <c r="AD6" s="175">
        <f t="shared" si="6"/>
        <v>5.375</v>
      </c>
      <c r="AF6" s="171">
        <f t="shared" si="7"/>
        <v>1062.5</v>
      </c>
      <c r="AG6" s="171">
        <f t="shared" si="8"/>
        <v>5.38</v>
      </c>
      <c r="AH6" s="171">
        <f t="shared" si="9"/>
        <v>0</v>
      </c>
      <c r="AI6" s="171" t="str">
        <f>IFERROR(IF(LEFT(RTD("cqg.rtd",,"ContractData",V6,"LongDescription",,"T"),3)="768","",RIGHT(LEFT(RTD("cqg.rtd", ,"ContractData",V6, "LongDescription",, "T"),LEN(RTD("cqg.rtd", ,"ContractData",V6, "LongDescription",, "T"))-1),LEN(RTD("cqg.rtd", ,"ContractData",V6, "LongDescription",, "T"))-FIND(LEFT(V6,3),RTD("cqg.rtd", ,"ContractData",V6, "LongDescription",, "T"))+2)),"")</f>
        <v>1*ZSEN25-1*ZSEK26</v>
      </c>
      <c r="AJ6" s="171">
        <f>RTD("cqg.rtd", ,"ContractData",Q6, "Settlement",,"T")</f>
        <v>1068.25</v>
      </c>
      <c r="AK6" s="171">
        <f>RTD("cqg.rtd", ,"ContractData",V6, "Settlement",,"T")</f>
        <v>0.5</v>
      </c>
      <c r="AL6" s="171">
        <f t="shared" si="10"/>
        <v>1068.25</v>
      </c>
    </row>
    <row r="7" spans="1:38" x14ac:dyDescent="0.2">
      <c r="A7" s="170" t="str">
        <f t="shared" si="1"/>
        <v>ZSEQ25</v>
      </c>
      <c r="B7" s="170" t="str">
        <f>RTD("cqg.rtd", ,"ContractData",A7, "ContractMonth")</f>
        <v>AUG</v>
      </c>
      <c r="C7" s="176" t="str">
        <f t="shared" si="2"/>
        <v>Q5</v>
      </c>
      <c r="D7" s="171" t="str">
        <f t="shared" si="3"/>
        <v>ZSES6Q5</v>
      </c>
      <c r="P7" s="172" t="str">
        <f t="shared" si="4"/>
        <v>2</v>
      </c>
      <c r="Q7" s="177" t="str">
        <f>IF(LEFT(RTD("cqg.rtd",,"ContractData",$Q$1&amp;"?"&amp;R40,"Symbol"),LEN($Q$1))=LEFT(RTD("cqg.rtd",,"ContractData",$Q$1&amp;"?"&amp;$R$35,"Symbol"),LEN($Q$1)),RTD("cqg.rtd",,"ContractData",$Q$1&amp;"?"&amp;R40,"Symbol"),NA())</f>
        <v>ZSEQ25</v>
      </c>
      <c r="R7" s="178">
        <f>RTD("cqg.rtd", ,"ContractData", Q7, $R$1,,"T")</f>
        <v>1060.5</v>
      </c>
      <c r="S7" s="178">
        <f>RTD("cqg.rtd", ,"ContractData", Q7,$S$1,,"T")</f>
        <v>1060</v>
      </c>
      <c r="T7" s="178">
        <f>RTD("cqg.rtd", ,"ContractData", Q7,$T$1,,"T")</f>
        <v>1060.5</v>
      </c>
      <c r="U7" s="175">
        <f>RTD("cqg.rtd", ,"ContractData", "F."&amp;$Q$1&amp;"?6", $U$1,,"T")</f>
        <v>-7.25</v>
      </c>
      <c r="V7" s="172" t="str">
        <f>I2</f>
        <v>ZSES6Q5</v>
      </c>
      <c r="W7" s="175" t="str">
        <f>RTD("cqg.rtd", ,"ContractData", V7, $W$1,,"T")</f>
        <v/>
      </c>
      <c r="X7" s="175">
        <f>RTD("cqg.rtd", ,"ContractData", V7, $X$1,,"T")</f>
        <v>3</v>
      </c>
      <c r="Y7" s="175">
        <f>RTD("cqg.rtd", ,"ContractData",V7,$Y$1,,"T")</f>
        <v>-5.5</v>
      </c>
      <c r="Z7" s="175">
        <f>RTD("cqg.rtd", ,"ContractData", V7,$Z$1,,"T")</f>
        <v>-2.75</v>
      </c>
      <c r="AA7" s="175">
        <f t="shared" si="5"/>
        <v>-4.125</v>
      </c>
      <c r="AB7" s="175">
        <f t="shared" si="0"/>
        <v>1060.5</v>
      </c>
      <c r="AC7" s="175">
        <f t="shared" si="11"/>
        <v>1060.5</v>
      </c>
      <c r="AD7" s="175">
        <f t="shared" si="6"/>
        <v>-4.125</v>
      </c>
      <c r="AF7" s="171">
        <f t="shared" si="7"/>
        <v>1060.5</v>
      </c>
      <c r="AG7" s="171">
        <f t="shared" si="8"/>
        <v>-4.13</v>
      </c>
      <c r="AH7" s="171">
        <f t="shared" si="9"/>
        <v>0</v>
      </c>
      <c r="AI7" s="171" t="str">
        <f>IFERROR(IF(LEFT(RTD("cqg.rtd",,"ContractData",V7,"LongDescription",,"T"),3)="768","",RIGHT(LEFT(RTD("cqg.rtd", ,"ContractData",V7, "LongDescription",, "T"),LEN(RTD("cqg.rtd", ,"ContractData",V7, "LongDescription",, "T"))-1),LEN(RTD("cqg.rtd", ,"ContractData",V7, "LongDescription",, "T"))-FIND(LEFT(V7,3),RTD("cqg.rtd", ,"ContractData",V7, "LongDescription",, "T"))+2)),"")</f>
        <v>1*ZSEQ25-1*ZSEN26</v>
      </c>
      <c r="AJ7" s="171">
        <f>RTD("cqg.rtd", ,"ContractData",Q7, "Settlement",,"T")</f>
        <v>1067.25</v>
      </c>
      <c r="AK7" s="171">
        <f>RTD("cqg.rtd", ,"ContractData",V7, "Settlement",,"T")</f>
        <v>-8.5</v>
      </c>
      <c r="AL7" s="171">
        <f t="shared" si="10"/>
        <v>1067.25</v>
      </c>
    </row>
    <row r="8" spans="1:38" x14ac:dyDescent="0.2">
      <c r="A8" s="170" t="str">
        <f t="shared" si="1"/>
        <v>ZSEU25</v>
      </c>
      <c r="B8" s="170" t="str">
        <f>RTD("cqg.rtd", ,"ContractData",A8, "ContractMonth")</f>
        <v>SEP</v>
      </c>
      <c r="C8" s="176" t="str">
        <f t="shared" si="2"/>
        <v>U5</v>
      </c>
      <c r="D8" s="171" t="str">
        <f t="shared" si="3"/>
        <v>ZSES6U5</v>
      </c>
      <c r="P8" s="172" t="str">
        <f t="shared" si="4"/>
        <v>2</v>
      </c>
      <c r="Q8" s="177" t="str">
        <f>IF(LEFT(RTD("cqg.rtd",,"ContractData",$Q$1&amp;"?"&amp;R41,"Symbol"),LEN($Q$1))=LEFT(RTD("cqg.rtd",,"ContractData",$Q$1&amp;"?"&amp;$R$35,"Symbol"),LEN($Q$1)),RTD("cqg.rtd",,"ContractData",$Q$1&amp;"?"&amp;R41,"Symbol"),NA())</f>
        <v>ZSEU25</v>
      </c>
      <c r="R8" s="178">
        <f>RTD("cqg.rtd", ,"ContractData", Q8, $R$1,,"T")</f>
        <v>1046</v>
      </c>
      <c r="S8" s="178">
        <f>RTD("cqg.rtd", ,"ContractData", Q8,$S$1,,"T")</f>
        <v>1045</v>
      </c>
      <c r="T8" s="178">
        <f>RTD("cqg.rtd", ,"ContractData", Q8,$T$1,,"T")</f>
        <v>1045.5</v>
      </c>
      <c r="U8" s="175">
        <f>RTD("cqg.rtd", ,"ContractData", "F."&amp;$Q$1&amp;"?7", $U$1,,"T")</f>
        <v>-9</v>
      </c>
      <c r="V8" s="172" t="str">
        <f>J2</f>
        <v>ZSES6U5</v>
      </c>
      <c r="W8" s="175" t="str">
        <f>RTD("cqg.rtd", ,"ContractData", V8, $W$1,,"T")</f>
        <v/>
      </c>
      <c r="X8" s="175" t="str">
        <f>RTD("cqg.rtd", ,"ContractData", V8, $X$1,,"T")</f>
        <v/>
      </c>
      <c r="Y8" s="175" t="str">
        <f>RTD("cqg.rtd", ,"ContractData",V8,$Y$1,,"T")</f>
        <v/>
      </c>
      <c r="Z8" s="175" t="str">
        <f>RTD("cqg.rtd", ,"ContractData", V8,$Z$1,,"T")</f>
        <v/>
      </c>
      <c r="AA8" s="175" t="e">
        <f t="shared" si="5"/>
        <v>#VALUE!</v>
      </c>
      <c r="AB8" s="175">
        <f t="shared" si="0"/>
        <v>1045.25</v>
      </c>
      <c r="AC8" s="175">
        <f t="shared" si="11"/>
        <v>1045.25</v>
      </c>
      <c r="AD8" s="175" t="str">
        <f t="shared" si="6"/>
        <v/>
      </c>
      <c r="AF8" s="171">
        <f t="shared" si="7"/>
        <v>1045.25</v>
      </c>
      <c r="AG8" s="171" t="e">
        <f t="shared" si="8"/>
        <v>#N/A</v>
      </c>
      <c r="AH8" s="171">
        <f t="shared" si="9"/>
        <v>0</v>
      </c>
      <c r="AI8" s="171" t="str">
        <f>IFERROR(IF(LEFT(RTD("cqg.rtd",,"ContractData",V8,"LongDescription",,"T"),3)="768","",RIGHT(LEFT(RTD("cqg.rtd", ,"ContractData",V8, "LongDescription",, "T"),LEN(RTD("cqg.rtd", ,"ContractData",V8, "LongDescription",, "T"))-1),LEN(RTD("cqg.rtd", ,"ContractData",V8, "LongDescription",, "T"))-FIND(LEFT(V8,3),RTD("cqg.rtd", ,"ContractData",V8, "LongDescription",, "T"))+2)),"")</f>
        <v>1*ZSEU25-1*ZSEQ26</v>
      </c>
      <c r="AJ8" s="171">
        <f>RTD("cqg.rtd", ,"ContractData",Q8, "Settlement",,"T")</f>
        <v>1054</v>
      </c>
      <c r="AK8" s="171">
        <f>RTD("cqg.rtd", ,"ContractData",V8, "Settlement",,"T")</f>
        <v>-18.25</v>
      </c>
      <c r="AL8" s="171">
        <f t="shared" si="10"/>
        <v>1054</v>
      </c>
    </row>
    <row r="9" spans="1:38" x14ac:dyDescent="0.2">
      <c r="A9" s="170" t="str">
        <f t="shared" si="1"/>
        <v>ZSEX25</v>
      </c>
      <c r="B9" s="170" t="str">
        <f>RTD("cqg.rtd", ,"ContractData",A9, "ContractMonth")</f>
        <v>NOV</v>
      </c>
      <c r="C9" s="176" t="str">
        <f t="shared" si="2"/>
        <v>X5</v>
      </c>
      <c r="D9" s="171" t="str">
        <f t="shared" si="3"/>
        <v>ZSES6X5</v>
      </c>
      <c r="P9" s="172" t="str">
        <f t="shared" si="4"/>
        <v>2</v>
      </c>
      <c r="Q9" s="177" t="str">
        <f>IF(LEFT(RTD("cqg.rtd",,"ContractData",$Q$1&amp;"?"&amp;R42,"Symbol"),LEN($Q$1))=LEFT(RTD("cqg.rtd",,"ContractData",$Q$1&amp;"?"&amp;$R$35,"Symbol"),LEN($Q$1)),RTD("cqg.rtd",,"ContractData",$Q$1&amp;"?"&amp;R42,"Symbol"),NA())</f>
        <v>ZSEX25</v>
      </c>
      <c r="R9" s="178">
        <f>RTD("cqg.rtd", ,"ContractData", Q9, $R$1,,"T")</f>
        <v>1043</v>
      </c>
      <c r="S9" s="178">
        <f>RTD("cqg.rtd", ,"ContractData", Q9,$S$1,,"T")</f>
        <v>1042.75</v>
      </c>
      <c r="T9" s="178">
        <f>RTD("cqg.rtd", ,"ContractData", Q9,$T$1,,"T")</f>
        <v>1043.25</v>
      </c>
      <c r="U9" s="175">
        <f>RTD("cqg.rtd", ,"ContractData", "F."&amp;$Q$1&amp;"?8", $U$1,,"T")</f>
        <v>-9.25</v>
      </c>
      <c r="V9" s="172" t="str">
        <f>K2</f>
        <v>ZSES6X5</v>
      </c>
      <c r="W9" s="175" t="str">
        <f>RTD("cqg.rtd", ,"ContractData", V9, $W$1,,"T")</f>
        <v/>
      </c>
      <c r="X9" s="175">
        <f>RTD("cqg.rtd", ,"ContractData", V9, $X$1,,"T")</f>
        <v>29.5</v>
      </c>
      <c r="Y9" s="175" t="str">
        <f>RTD("cqg.rtd", ,"ContractData",V9,$Y$1,,"T")</f>
        <v/>
      </c>
      <c r="Z9" s="175">
        <f>RTD("cqg.rtd", ,"ContractData", V9,$Z$1,,"T")</f>
        <v>22.5</v>
      </c>
      <c r="AA9" s="175" t="e">
        <f t="shared" si="5"/>
        <v>#VALUE!</v>
      </c>
      <c r="AB9" s="175">
        <f t="shared" si="0"/>
        <v>1043</v>
      </c>
      <c r="AC9" s="175">
        <f t="shared" si="11"/>
        <v>1043</v>
      </c>
      <c r="AD9" s="175" t="str">
        <f t="shared" si="6"/>
        <v/>
      </c>
      <c r="AF9" s="171">
        <f t="shared" si="7"/>
        <v>1043</v>
      </c>
      <c r="AG9" s="171" t="e">
        <f t="shared" si="8"/>
        <v>#N/A</v>
      </c>
      <c r="AH9" s="171">
        <f t="shared" si="9"/>
        <v>0</v>
      </c>
      <c r="AI9" s="171" t="str">
        <f>IFERROR(IF(LEFT(RTD("cqg.rtd",,"ContractData",V9,"LongDescription",,"T"),3)="768","",RIGHT(LEFT(RTD("cqg.rtd", ,"ContractData",V9, "LongDescription",, "T"),LEN(RTD("cqg.rtd", ,"ContractData",V9, "LongDescription",, "T"))-1),LEN(RTD("cqg.rtd", ,"ContractData",V9, "LongDescription",, "T"))-FIND(LEFT(V9,3),RTD("cqg.rtd", ,"ContractData",V9, "LongDescription",, "T"))+2)),"")</f>
        <v>1*ZSEX25-1*ZSEU26</v>
      </c>
      <c r="AJ9" s="171">
        <f>RTD("cqg.rtd", ,"ContractData",Q9, "Settlement",,"T")</f>
        <v>1052.5</v>
      </c>
      <c r="AK9" s="171">
        <f>RTD("cqg.rtd", ,"ContractData",V9, "Settlement",,"T")</f>
        <v>-7</v>
      </c>
      <c r="AL9" s="171">
        <f t="shared" si="10"/>
        <v>1052.5</v>
      </c>
    </row>
    <row r="10" spans="1:38" x14ac:dyDescent="0.2">
      <c r="A10" s="170" t="str">
        <f t="shared" si="1"/>
        <v>ZSEF26</v>
      </c>
      <c r="B10" s="170" t="str">
        <f>RTD("cqg.rtd", ,"ContractData",A10, "ContractMonth")</f>
        <v>JAN</v>
      </c>
      <c r="C10" s="176" t="str">
        <f t="shared" si="2"/>
        <v>F6</v>
      </c>
      <c r="D10" s="171" t="str">
        <f t="shared" si="3"/>
        <v>ZSES6F6</v>
      </c>
      <c r="P10" s="172" t="str">
        <f t="shared" si="4"/>
        <v>2</v>
      </c>
      <c r="Q10" s="177" t="str">
        <f>IF(LEFT(RTD("cqg.rtd",,"ContractData",$Q$1&amp;"?"&amp;R43,"Symbol"),LEN($Q$1))=LEFT(RTD("cqg.rtd",,"ContractData",$Q$1&amp;"?"&amp;$R$35,"Symbol"),LEN($Q$1)),RTD("cqg.rtd",,"ContractData",$Q$1&amp;"?"&amp;R43,"Symbol"),NA())</f>
        <v>ZSEF26</v>
      </c>
      <c r="R10" s="178">
        <f>RTD("cqg.rtd", ,"ContractData", Q10, $R$1,,"T")</f>
        <v>1052.25</v>
      </c>
      <c r="S10" s="178">
        <f>RTD("cqg.rtd", ,"ContractData", Q10,$S$1,,"T")</f>
        <v>1051.75</v>
      </c>
      <c r="T10" s="178">
        <f>RTD("cqg.rtd", ,"ContractData", Q10,$T$1,,"T")</f>
        <v>1052.5</v>
      </c>
      <c r="U10" s="175">
        <f>RTD("cqg.rtd", ,"ContractData", "F."&amp;$Q$1&amp;"?9", $U$1,,"T")</f>
        <v>-9.25</v>
      </c>
      <c r="V10" s="172" t="str">
        <f>L2</f>
        <v>ZSES6F6</v>
      </c>
      <c r="W10" s="175" t="str">
        <f>RTD("cqg.rtd", ,"ContractData", V10, $W$1,,"T")</f>
        <v/>
      </c>
      <c r="X10" s="175">
        <f>RTD("cqg.rtd", ,"ContractData", V10, $X$1,,"T")</f>
        <v>-0.25</v>
      </c>
      <c r="Y10" s="175">
        <f>RTD("cqg.rtd", ,"ContractData",V10,$Y$1,,"T")</f>
        <v>0.75</v>
      </c>
      <c r="Z10" s="175">
        <f>RTD("cqg.rtd", ,"ContractData", V10,$Z$1,,"T")</f>
        <v>8.25</v>
      </c>
      <c r="AA10" s="175">
        <f t="shared" si="5"/>
        <v>4.5</v>
      </c>
      <c r="AB10" s="175">
        <f t="shared" si="0"/>
        <v>1052.25</v>
      </c>
      <c r="AC10" s="175">
        <f t="shared" si="11"/>
        <v>1052.25</v>
      </c>
      <c r="AD10" s="175">
        <f t="shared" si="6"/>
        <v>4.5</v>
      </c>
      <c r="AF10" s="171">
        <f t="shared" si="7"/>
        <v>1052.25</v>
      </c>
      <c r="AG10" s="171">
        <f t="shared" si="8"/>
        <v>4.5</v>
      </c>
      <c r="AH10" s="171">
        <f t="shared" si="9"/>
        <v>0</v>
      </c>
      <c r="AI10" s="171" t="str">
        <f>IFERROR(IF(LEFT(RTD("cqg.rtd",,"ContractData",V10,"LongDescription",,"T"),3)="768","",RIGHT(LEFT(RTD("cqg.rtd", ,"ContractData",V10, "LongDescription",, "T"),LEN(RTD("cqg.rtd", ,"ContractData",V10, "LongDescription",, "T"))-1),LEN(RTD("cqg.rtd", ,"ContractData",V10, "LongDescription",, "T"))-FIND(LEFT(V10,3),RTD("cqg.rtd", ,"ContractData",V10, "LongDescription",, "T"))+2)),"")</f>
        <v>1*ZSEF26-1*ZSEX26</v>
      </c>
      <c r="AJ10" s="171">
        <f>RTD("cqg.rtd", ,"ContractData",Q10, "Settlement",,"T")</f>
        <v>1061.75</v>
      </c>
      <c r="AK10" s="171">
        <f>RTD("cqg.rtd", ,"ContractData",V10, "Settlement",,"T")</f>
        <v>1</v>
      </c>
      <c r="AL10" s="171">
        <f t="shared" si="10"/>
        <v>1061.75</v>
      </c>
    </row>
    <row r="11" spans="1:38" x14ac:dyDescent="0.2">
      <c r="A11" s="170" t="str">
        <f t="shared" si="1"/>
        <v>ZSEH26</v>
      </c>
      <c r="B11" s="170" t="str">
        <f>RTD("cqg.rtd", ,"ContractData",A11, "ContractMonth")</f>
        <v>MAR</v>
      </c>
      <c r="C11" s="176" t="str">
        <f t="shared" si="2"/>
        <v>H6</v>
      </c>
      <c r="D11" s="171" t="str">
        <f t="shared" si="3"/>
        <v>ZSES6H6</v>
      </c>
      <c r="P11" s="172" t="str">
        <f t="shared" si="4"/>
        <v>2</v>
      </c>
      <c r="Q11" s="177" t="str">
        <f>IF(LEFT(RTD("cqg.rtd",,"ContractData",$Q$1&amp;"?"&amp;R44,"Symbol"),LEN($Q$1))=LEFT(RTD("cqg.rtd",,"ContractData",$Q$1&amp;"?"&amp;$R$35,"Symbol"),LEN($Q$1)),RTD("cqg.rtd",,"ContractData",$Q$1&amp;"?"&amp;R44,"Symbol"),NA())</f>
        <v>ZSEH26</v>
      </c>
      <c r="R11" s="178">
        <f>RTD("cqg.rtd", ,"ContractData", Q11, $R$1,,"T")</f>
        <v>1051.75</v>
      </c>
      <c r="S11" s="178">
        <f>RTD("cqg.rtd", ,"ContractData", Q11,$S$1,,"T")</f>
        <v>1051.25</v>
      </c>
      <c r="T11" s="178">
        <f>RTD("cqg.rtd", ,"ContractData", Q11,$T$1,,"T")</f>
        <v>1052.25</v>
      </c>
      <c r="U11" s="175">
        <f>RTD("cqg.rtd", ,"ContractData", "F."&amp;$Q$1&amp;"?10", $U$1,,"T")</f>
        <v>-9.5</v>
      </c>
      <c r="V11" s="172" t="str">
        <f>M2</f>
        <v>ZSES6H6</v>
      </c>
      <c r="W11" s="175" t="str">
        <f>RTD("cqg.rtd", ,"ContractData", V11, $W$1,,"T")</f>
        <v/>
      </c>
      <c r="X11" s="175" t="str">
        <f>RTD("cqg.rtd", ,"ContractData", V11, $X$1,,"T")</f>
        <v/>
      </c>
      <c r="Y11" s="175" t="str">
        <f>RTD("cqg.rtd", ,"ContractData",V11,$Y$1,,"T")</f>
        <v/>
      </c>
      <c r="Z11" s="175" t="str">
        <f>RTD("cqg.rtd", ,"ContractData", V11,$Z$1,,"T")</f>
        <v/>
      </c>
      <c r="AA11" s="175" t="e">
        <f t="shared" si="5"/>
        <v>#VALUE!</v>
      </c>
      <c r="AB11" s="175">
        <f t="shared" si="0"/>
        <v>1051.75</v>
      </c>
      <c r="AC11" s="175">
        <f t="shared" si="11"/>
        <v>1051.75</v>
      </c>
      <c r="AD11" s="175" t="str">
        <f t="shared" si="6"/>
        <v/>
      </c>
      <c r="AF11" s="171">
        <f t="shared" si="7"/>
        <v>1051.75</v>
      </c>
      <c r="AG11" s="171" t="e">
        <f t="shared" si="8"/>
        <v>#N/A</v>
      </c>
      <c r="AH11" s="171">
        <f t="shared" si="9"/>
        <v>0</v>
      </c>
      <c r="AI11" s="171" t="str">
        <f>IFERROR(IF(LEFT(RTD("cqg.rtd",,"ContractData",V11,"LongDescription",,"T"),3)="768","",RIGHT(LEFT(RTD("cqg.rtd", ,"ContractData",V11, "LongDescription",, "T"),LEN(RTD("cqg.rtd", ,"ContractData",V11, "LongDescription",, "T"))-1),LEN(RTD("cqg.rtd", ,"ContractData",V11, "LongDescription",, "T"))-FIND(LEFT(V11,3),RTD("cqg.rtd", ,"ContractData",V11, "LongDescription",, "T"))+2)),"")</f>
        <v>1*ZSEH26-1*ZSEF27</v>
      </c>
      <c r="AJ11" s="171">
        <f>RTD("cqg.rtd", ,"ContractData",Q11, "Settlement",,"T")</f>
        <v>1061.75</v>
      </c>
      <c r="AK11" s="171" t="str">
        <f>RTD("cqg.rtd", ,"ContractData",V11, "Settlement",,"T")</f>
        <v/>
      </c>
      <c r="AL11" s="171">
        <f t="shared" si="10"/>
        <v>1061.75</v>
      </c>
    </row>
    <row r="12" spans="1:38" x14ac:dyDescent="0.2">
      <c r="A12" s="170" t="str">
        <f t="shared" si="1"/>
        <v>ZSEK26</v>
      </c>
      <c r="B12" s="170" t="str">
        <f>RTD("cqg.rtd", ,"ContractData",A12, "ContractMonth")</f>
        <v>MAY</v>
      </c>
      <c r="C12" s="176" t="str">
        <f t="shared" si="2"/>
        <v>K6</v>
      </c>
      <c r="D12" s="171" t="str">
        <f t="shared" si="3"/>
        <v>ZSES6K6</v>
      </c>
      <c r="P12" s="172" t="str">
        <f t="shared" si="4"/>
        <v>2</v>
      </c>
      <c r="Q12" s="177" t="str">
        <f>IF(LEFT(RTD("cqg.rtd",,"ContractData",$Q$1&amp;"?"&amp;R45,"Symbol"),LEN($Q$1))=LEFT(RTD("cqg.rtd",,"ContractData",$Q$1&amp;"?"&amp;$R$35,"Symbol"),LEN($Q$1)),RTD("cqg.rtd",,"ContractData",$Q$1&amp;"?"&amp;R45,"Symbol"),NA())</f>
        <v>ZSEK26</v>
      </c>
      <c r="R12" s="178">
        <f>RTD("cqg.rtd", ,"ContractData", Q12, $R$1,,"T")</f>
        <v>1064</v>
      </c>
      <c r="S12" s="178">
        <f>RTD("cqg.rtd", ,"ContractData", Q12,$S$1,,"T")</f>
        <v>1056.25</v>
      </c>
      <c r="T12" s="178">
        <f>RTD("cqg.rtd", ,"ContractData", Q12,$T$1,,"T")</f>
        <v>1057.75</v>
      </c>
      <c r="U12" s="175">
        <f>RTD("cqg.rtd", ,"ContractData", "F."&amp;$Q$1&amp;"?11",$U$1,,"T")</f>
        <v>-10</v>
      </c>
      <c r="V12" s="172" t="str">
        <f>N2</f>
        <v>ZSES6K6</v>
      </c>
      <c r="W12" s="175" t="str">
        <f>RTD("cqg.rtd", ,"ContractData", V12, $W$1,,"T")</f>
        <v/>
      </c>
      <c r="X12" s="175" t="str">
        <f>RTD("cqg.rtd", ,"ContractData", V12, $X$1,,"T")</f>
        <v/>
      </c>
      <c r="Y12" s="175" t="str">
        <f>RTD("cqg.rtd", ,"ContractData",V12,$Y$1,,"T")</f>
        <v/>
      </c>
      <c r="Z12" s="175" t="str">
        <f>RTD("cqg.rtd", ,"ContractData", V12,$Z$1,,"T")</f>
        <v/>
      </c>
      <c r="AA12" s="175" t="e">
        <f t="shared" si="5"/>
        <v>#VALUE!</v>
      </c>
      <c r="AB12" s="175">
        <f t="shared" si="0"/>
        <v>1057</v>
      </c>
      <c r="AC12" s="175">
        <f t="shared" si="11"/>
        <v>1057</v>
      </c>
      <c r="AD12" s="175" t="str">
        <f t="shared" si="6"/>
        <v/>
      </c>
      <c r="AF12" s="171">
        <f t="shared" si="7"/>
        <v>1057</v>
      </c>
      <c r="AG12" s="171" t="e">
        <f t="shared" si="8"/>
        <v>#N/A</v>
      </c>
      <c r="AH12" s="171">
        <f t="shared" si="9"/>
        <v>0</v>
      </c>
      <c r="AI12" s="171" t="str">
        <f>IFERROR(IF(LEFT(RTD("cqg.rtd",,"ContractData",V12,"LongDescription",,"T"),3)="768","",RIGHT(LEFT(RTD("cqg.rtd", ,"ContractData",V12, "LongDescription",, "T"),LEN(RTD("cqg.rtd", ,"ContractData",V12, "LongDescription",, "T"))-1),LEN(RTD("cqg.rtd", ,"ContractData",V12, "LongDescription",, "T"))-FIND(LEFT(V12,3),RTD("cqg.rtd", ,"ContractData",V12, "LongDescription",, "T"))+2)),"")</f>
        <v>1*ZSEK26-1*ZSEH27</v>
      </c>
      <c r="AJ12" s="171">
        <f>RTD("cqg.rtd", ,"ContractData",Q12, "Settlement",,"T")</f>
        <v>1067.75</v>
      </c>
      <c r="AK12" s="171" t="str">
        <f>RTD("cqg.rtd", ,"ContractData",V12, "Settlement",,"T")</f>
        <v/>
      </c>
      <c r="AL12" s="171">
        <f t="shared" si="10"/>
        <v>1067.75</v>
      </c>
    </row>
    <row r="13" spans="1:38" x14ac:dyDescent="0.2">
      <c r="A13" s="170" t="str">
        <f t="shared" si="1"/>
        <v>ZSEN26</v>
      </c>
      <c r="B13" s="170" t="str">
        <f>RTD("cqg.rtd", ,"ContractData",A13, "ContractMonth")</f>
        <v>JUL</v>
      </c>
      <c r="C13" s="176" t="str">
        <f t="shared" si="2"/>
        <v>N6</v>
      </c>
      <c r="D13" s="171" t="str">
        <f t="shared" si="3"/>
        <v>ZSES6N6</v>
      </c>
      <c r="P13" s="172" t="str">
        <f t="shared" si="4"/>
        <v>2</v>
      </c>
      <c r="Q13" s="177" t="str">
        <f>IF(LEFT(RTD("cqg.rtd",,"ContractData",$Q$1&amp;"?"&amp;R46,"Symbol"),LEN($Q$1))=LEFT(RTD("cqg.rtd",,"ContractData",$Q$1&amp;"?"&amp;$R$35,"Symbol"),LEN($Q$1)),RTD("cqg.rtd",,"ContractData",$Q$1&amp;"?"&amp;R46,"Symbol"),NA())</f>
        <v>ZSEN26</v>
      </c>
      <c r="R13" s="178">
        <f>RTD("cqg.rtd", ,"ContractData", Q13, $R$1,,"T")</f>
        <v>1065.75</v>
      </c>
      <c r="S13" s="178">
        <f>RTD("cqg.rtd", ,"ContractData", Q13,$S$1,,"T")</f>
        <v>1063.5</v>
      </c>
      <c r="T13" s="178">
        <f>RTD("cqg.rtd", ,"ContractData", Q13,$T$1,,"T")</f>
        <v>1065.5</v>
      </c>
      <c r="U13" s="175">
        <f>RTD("cqg.rtd", ,"ContractData", "F."&amp;$Q$1&amp;"?12",$U$1,,"T")</f>
        <v>-12.25</v>
      </c>
      <c r="V13" s="172" t="str">
        <f>O2</f>
        <v>ZSES6N6</v>
      </c>
      <c r="W13" s="175" t="str">
        <f>RTD("cqg.rtd", ,"ContractData", V13, $W$1,,"T")</f>
        <v/>
      </c>
      <c r="X13" s="175" t="str">
        <f>RTD("cqg.rtd", ,"ContractData", V13, $X$1,,"T")</f>
        <v/>
      </c>
      <c r="Y13" s="175" t="str">
        <f>RTD("cqg.rtd", ,"ContractData",V13,$Y$1,,"T")</f>
        <v/>
      </c>
      <c r="Z13" s="175" t="str">
        <f>RTD("cqg.rtd", ,"ContractData", V13,$Z$1,,"T")</f>
        <v/>
      </c>
      <c r="AA13" s="175" t="e">
        <f t="shared" si="5"/>
        <v>#VALUE!</v>
      </c>
      <c r="AB13" s="175">
        <f t="shared" si="0"/>
        <v>1064.5</v>
      </c>
      <c r="AC13" s="175">
        <f t="shared" si="11"/>
        <v>1064.5</v>
      </c>
      <c r="AD13" s="175" t="str">
        <f t="shared" si="6"/>
        <v/>
      </c>
      <c r="AF13" s="171">
        <f t="shared" si="7"/>
        <v>1064.5</v>
      </c>
      <c r="AG13" s="171" t="e">
        <f t="shared" si="8"/>
        <v>#N/A</v>
      </c>
      <c r="AH13" s="171">
        <f t="shared" si="9"/>
        <v>0</v>
      </c>
      <c r="AI13" s="171" t="str">
        <f>IFERROR(IF(LEFT(RTD("cqg.rtd",,"ContractData",V13,"LongDescription",,"T"),3)="768","",RIGHT(LEFT(RTD("cqg.rtd", ,"ContractData",V13, "LongDescription",, "T"),LEN(RTD("cqg.rtd", ,"ContractData",V13, "LongDescription",, "T"))-1),LEN(RTD("cqg.rtd", ,"ContractData",V13, "LongDescription",, "T"))-FIND(LEFT(V13,3),RTD("cqg.rtd", ,"ContractData",V13, "LongDescription",, "T"))+2)),"")</f>
        <v>1*ZSEN26-1*ZSEK27</v>
      </c>
      <c r="AJ13" s="171">
        <f>RTD("cqg.rtd", ,"ContractData",Q13, "Settlement",,"T")</f>
        <v>1075.75</v>
      </c>
      <c r="AK13" s="171" t="str">
        <f>RTD("cqg.rtd", ,"ContractData",V13, "Settlement",,"T")</f>
        <v/>
      </c>
      <c r="AL13" s="171">
        <f t="shared" si="10"/>
        <v>1075.75</v>
      </c>
    </row>
    <row r="14" spans="1:38" x14ac:dyDescent="0.2"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</row>
    <row r="15" spans="1:38" x14ac:dyDescent="0.2">
      <c r="E15" s="171" t="b">
        <v>0</v>
      </c>
      <c r="F15" s="171" t="s">
        <v>33</v>
      </c>
      <c r="G15" s="171" t="s">
        <v>34</v>
      </c>
      <c r="P15" s="172"/>
      <c r="Q15" s="172"/>
      <c r="R15" s="172"/>
      <c r="S15" s="172"/>
      <c r="T15" s="172"/>
      <c r="U15" s="172"/>
    </row>
    <row r="16" spans="1:38" x14ac:dyDescent="0.2">
      <c r="A16" s="171">
        <f>Main!K4</f>
        <v>10</v>
      </c>
      <c r="B16" s="171">
        <f>Main!L4</f>
        <v>15</v>
      </c>
      <c r="C16" s="171">
        <f>Main!M4</f>
        <v>2024</v>
      </c>
      <c r="D16" s="171" t="str">
        <f>Main!M5</f>
        <v>D</v>
      </c>
      <c r="E16" s="179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991</v>
      </c>
      <c r="G16" s="179">
        <f>IFERROR(AF2-E16,"")</f>
        <v>24.25</v>
      </c>
      <c r="I16" s="171" t="str">
        <f>$Q$1&amp;"?"&amp;R35</f>
        <v>ZSE?1</v>
      </c>
      <c r="J16" s="171" t="str">
        <f>$Q$1&amp;"S6??"&amp;R35</f>
        <v>ZSES6??1</v>
      </c>
      <c r="K16" s="171">
        <f>IF(LEFT(M16,3)="768",NA(),RTD("cqg.rtd",,"StudyData", "Close("&amp;$J16&amp;")when (LocalMonth("&amp;$J16&amp;")="&amp;$A$16&amp;" and LocalDay("&amp;$J16&amp;")="&amp;$B$16&amp;" and LocalYear("&amp;$J16&amp;")="&amp;$C$16&amp;")", "Bar", "", "Close",$D$16, "0","ALL","", "",$E$15,$F$15))</f>
        <v>-42.25</v>
      </c>
      <c r="L16" s="171">
        <f>TEXT(IFERROR(AG2-K16,""),$E$29)*1</f>
        <v>10.37</v>
      </c>
      <c r="M16" s="171" t="str">
        <f>RTD("cqg.rtd", ,"ContractData", J16,"Symbol",,"T")</f>
        <v>ZSES6X24</v>
      </c>
    </row>
    <row r="17" spans="5:29" x14ac:dyDescent="0.2">
      <c r="E17" s="179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1003.5</v>
      </c>
      <c r="G17" s="179">
        <f t="shared" ref="G17:G27" si="12">IFERROR(AF3-E17,"")</f>
        <v>23.75</v>
      </c>
      <c r="I17" s="171" t="str">
        <f t="shared" ref="I17:I27" si="13">$Q$1&amp;"?"&amp;R36</f>
        <v>ZSE?2</v>
      </c>
      <c r="J17" s="171" t="str">
        <f t="shared" ref="J17:J27" si="14">$Q$1&amp;"S6??"&amp;R36</f>
        <v>ZSES6??2</v>
      </c>
      <c r="K17" s="171">
        <f>IF(LEFT(M17,3)="768",NA(),RTD("cqg.rtd",,"StudyData", "Close("&amp;$J17&amp;")when (LocalMonth("&amp;$J17&amp;")="&amp;$A$16&amp;" and LocalDay("&amp;$J17&amp;")="&amp;$B$16&amp;" and LocalYear("&amp;$J17&amp;")="&amp;$C$16&amp;")", "Bar", "", "Close",$D$16, "0","ALL","", "",$E$15,$F$15))</f>
        <v>-32.25</v>
      </c>
      <c r="L17" s="171">
        <f t="shared" ref="L17:L27" si="15">TEXT(IFERROR(AG3-K17,""),$E$29)*1</f>
        <v>16.5</v>
      </c>
      <c r="M17" s="171" t="str">
        <f>RTD("cqg.rtd", ,"ContractData", J17,"Symbol",,"T")</f>
        <v>ZSES6F25</v>
      </c>
      <c r="AB17" s="179"/>
      <c r="AC17" s="179"/>
    </row>
    <row r="18" spans="5:29" x14ac:dyDescent="0.2">
      <c r="E18" s="179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1016.75</v>
      </c>
      <c r="G18" s="179">
        <f t="shared" si="12"/>
        <v>22.25</v>
      </c>
      <c r="I18" s="171" t="str">
        <f t="shared" si="13"/>
        <v>ZSE?3</v>
      </c>
      <c r="J18" s="171" t="str">
        <f t="shared" si="14"/>
        <v>ZSES6??3</v>
      </c>
      <c r="K18" s="171">
        <f>IF(LEFT(M18,3)="768",NA(),RTD("cqg.rtd",,"StudyData", "Close("&amp;$J18&amp;")when (LocalMonth("&amp;$J18&amp;")="&amp;$A$16&amp;" and LocalDay("&amp;$J18&amp;")="&amp;$B$16&amp;" and LocalYear("&amp;$J18&amp;")="&amp;$C$16&amp;")", "Bar", "", "Close",$D$16, "0","ALL","", "",$E$15,$F$15))</f>
        <v>-30.5</v>
      </c>
      <c r="L18" s="171">
        <f t="shared" si="15"/>
        <v>17.25</v>
      </c>
      <c r="M18" s="171" t="str">
        <f>RTD("cqg.rtd", ,"ContractData", J18,"Symbol",,"T")</f>
        <v>ZSES6H25</v>
      </c>
      <c r="AB18" s="179"/>
      <c r="AC18" s="179"/>
    </row>
    <row r="19" spans="5:29" x14ac:dyDescent="0.2">
      <c r="E19" s="179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1030.5</v>
      </c>
      <c r="G19" s="179">
        <f t="shared" si="12"/>
        <v>20.75</v>
      </c>
      <c r="I19" s="171" t="str">
        <f t="shared" si="13"/>
        <v>ZSE?4</v>
      </c>
      <c r="J19" s="171" t="str">
        <f t="shared" si="14"/>
        <v>ZSES6??4</v>
      </c>
      <c r="K19" s="171">
        <f>IF(LEFT(M19,3)="768",NA(),RTD("cqg.rtd",,"StudyData", "Close("&amp;$J19&amp;")when (LocalMonth("&amp;$J19&amp;")="&amp;$A$16&amp;" and LocalDay("&amp;$J19&amp;")="&amp;$B$16&amp;" and LocalYear("&amp;$J19&amp;")="&amp;$C$16&amp;")", "Bar", "", "Close",$D$16, "0","ALL","", "",$E$15,$F$15))</f>
        <v>-20.25</v>
      </c>
      <c r="L19" s="171">
        <f t="shared" si="15"/>
        <v>20</v>
      </c>
      <c r="M19" s="171" t="str">
        <f>RTD("cqg.rtd", ,"ContractData", J19,"Symbol",,"T")</f>
        <v>ZSES6K25</v>
      </c>
      <c r="AB19" s="179"/>
      <c r="AC19" s="179"/>
    </row>
    <row r="20" spans="5:29" x14ac:dyDescent="0.2">
      <c r="E20" s="179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1041.25</v>
      </c>
      <c r="G20" s="179">
        <f t="shared" si="12"/>
        <v>21.25</v>
      </c>
      <c r="I20" s="171" t="str">
        <f t="shared" si="13"/>
        <v>ZSE?5</v>
      </c>
      <c r="J20" s="171" t="str">
        <f t="shared" si="14"/>
        <v>ZSES6??5</v>
      </c>
      <c r="K20" s="171">
        <f>IF(LEFT(M20,3)="768",NA(),RTD("cqg.rtd",,"StudyData", "Close("&amp;$J20&amp;")when (LocalMonth("&amp;$J20&amp;")="&amp;$A$16&amp;" and LocalDay("&amp;$J20&amp;")="&amp;$B$16&amp;" and LocalYear("&amp;$J20&amp;")="&amp;$C$16&amp;")", "Bar", "", "Close",$D$16, "0","ALL","", "",$E$15,$F$15))</f>
        <v>-15.75</v>
      </c>
      <c r="L20" s="171">
        <f t="shared" si="15"/>
        <v>21.13</v>
      </c>
      <c r="M20" s="171" t="str">
        <f>RTD("cqg.rtd", ,"ContractData", J20,"Symbol",,"T")</f>
        <v>ZSES6N25</v>
      </c>
      <c r="U20" s="180"/>
      <c r="V20" s="180"/>
      <c r="AB20" s="179"/>
      <c r="AC20" s="179"/>
    </row>
    <row r="21" spans="5:29" x14ac:dyDescent="0.2">
      <c r="E21" s="179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1041.5</v>
      </c>
      <c r="G21" s="179">
        <f t="shared" si="12"/>
        <v>19</v>
      </c>
      <c r="I21" s="171" t="str">
        <f t="shared" si="13"/>
        <v>ZSE?6</v>
      </c>
      <c r="J21" s="171" t="str">
        <f t="shared" si="14"/>
        <v>ZSES6??6</v>
      </c>
      <c r="K21" s="171">
        <f>IF(LEFT(M21,3)="768",NA(),RTD("cqg.rtd",,"StudyData", "Close("&amp;$J21&amp;")when (LocalMonth("&amp;$J21&amp;")="&amp;$A$16&amp;" and LocalDay("&amp;$J21&amp;")="&amp;$B$16&amp;" and LocalYear("&amp;$J21&amp;")="&amp;$C$16&amp;")", "Bar", "", "Close",$D$16, "0","ALL","", "",$E$15,$F$15))</f>
        <v>-23.25</v>
      </c>
      <c r="L21" s="171">
        <f t="shared" si="15"/>
        <v>19.12</v>
      </c>
      <c r="M21" s="171" t="str">
        <f>RTD("cqg.rtd", ,"ContractData", J21,"Symbol",,"T")</f>
        <v>ZSES6Q25</v>
      </c>
      <c r="T21" s="179"/>
      <c r="U21" s="179"/>
      <c r="V21" s="179"/>
      <c r="X21" s="179"/>
      <c r="Y21" s="179"/>
      <c r="Z21" s="179"/>
      <c r="AB21" s="179"/>
      <c r="AC21" s="179"/>
    </row>
    <row r="22" spans="5:29" x14ac:dyDescent="0.2">
      <c r="E22" s="179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1033.25</v>
      </c>
      <c r="G22" s="179">
        <f t="shared" si="12"/>
        <v>12</v>
      </c>
      <c r="I22" s="171" t="str">
        <f t="shared" si="13"/>
        <v>ZSE?7</v>
      </c>
      <c r="J22" s="171" t="str">
        <f t="shared" si="14"/>
        <v>ZSES6??7</v>
      </c>
      <c r="K22" s="171">
        <f>IF(LEFT(M22,3)="768",NA(),RTD("cqg.rtd",,"StudyData", "Close("&amp;$J22&amp;")when (LocalMonth("&amp;$J22&amp;")="&amp;$A$16&amp;" and LocalDay("&amp;$J22&amp;")="&amp;$B$16&amp;" and LocalYear("&amp;$J22&amp;")="&amp;$C$16&amp;")", "Bar", "", "Close",$D$16, "0","ALL","", "",$E$15,$F$15))</f>
        <v>-26</v>
      </c>
      <c r="L22" s="171" t="e">
        <f t="shared" si="15"/>
        <v>#VALUE!</v>
      </c>
      <c r="M22" s="171" t="str">
        <f>RTD("cqg.rtd", ,"ContractData", J22,"Symbol",,"T")</f>
        <v>ZSES6U25</v>
      </c>
      <c r="T22" s="179"/>
      <c r="U22" s="179"/>
      <c r="V22" s="179"/>
      <c r="X22" s="179"/>
      <c r="Y22" s="179"/>
      <c r="Z22" s="179"/>
      <c r="AB22" s="179"/>
      <c r="AC22" s="179"/>
    </row>
    <row r="23" spans="5:29" x14ac:dyDescent="0.2">
      <c r="E23" s="179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1035.75</v>
      </c>
      <c r="G23" s="179">
        <f t="shared" si="12"/>
        <v>7.25</v>
      </c>
      <c r="I23" s="171" t="str">
        <f t="shared" si="13"/>
        <v>ZSE?8</v>
      </c>
      <c r="J23" s="171" t="str">
        <f t="shared" si="14"/>
        <v>ZSES6??8</v>
      </c>
      <c r="K23" s="171">
        <f>IF(LEFT(M23,3)="768",NA(),RTD("cqg.rtd",,"StudyData", "Close("&amp;$J23&amp;")when (LocalMonth("&amp;$J23&amp;")="&amp;$A$16&amp;" and LocalDay("&amp;$J23&amp;")="&amp;$B$16&amp;" and LocalYear("&amp;$J23&amp;")="&amp;$C$16&amp;")", "Bar", "", "Close",$D$16, "0","ALL","", "",$E$15,$F$15))</f>
        <v>-12.25</v>
      </c>
      <c r="L23" s="171" t="e">
        <f t="shared" si="15"/>
        <v>#VALUE!</v>
      </c>
      <c r="M23" s="171" t="str">
        <f>RTD("cqg.rtd", ,"ContractData", J23,"Symbol",,"T")</f>
        <v>ZSES6X25</v>
      </c>
      <c r="T23" s="179"/>
      <c r="U23" s="179"/>
      <c r="V23" s="179"/>
      <c r="X23" s="179"/>
      <c r="Y23" s="179"/>
      <c r="Z23" s="179"/>
      <c r="AB23" s="179"/>
      <c r="AC23" s="179"/>
    </row>
    <row r="24" spans="5:29" x14ac:dyDescent="0.2">
      <c r="E24" s="179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1047.25</v>
      </c>
      <c r="G24" s="179">
        <f t="shared" si="12"/>
        <v>5</v>
      </c>
      <c r="I24" s="171" t="str">
        <f t="shared" si="13"/>
        <v>ZSE?9</v>
      </c>
      <c r="J24" s="171" t="str">
        <f t="shared" si="14"/>
        <v>ZSES6??9</v>
      </c>
      <c r="K24" s="171">
        <f>IF(LEFT(M24,3)="768",NA(),RTD("cqg.rtd",,"StudyData", "Close("&amp;$J24&amp;")when (LocalMonth("&amp;$J24&amp;")="&amp;$A$16&amp;" and LocalDay("&amp;$J24&amp;")="&amp;$B$16&amp;" and LocalYear("&amp;$J24&amp;")="&amp;$C$16&amp;")", "Bar", "", "Close",$D$16, "0","ALL","", "",$E$15,$F$15))</f>
        <v>-3.25</v>
      </c>
      <c r="L24" s="171">
        <f t="shared" si="15"/>
        <v>7.75</v>
      </c>
      <c r="M24" s="171" t="str">
        <f>RTD("cqg.rtd", ,"ContractData", J24,"Symbol",,"T")</f>
        <v>ZSES6F26</v>
      </c>
      <c r="T24" s="179"/>
      <c r="U24" s="179"/>
      <c r="V24" s="179"/>
      <c r="X24" s="179"/>
      <c r="Y24" s="179"/>
      <c r="Z24" s="179"/>
      <c r="AB24" s="179"/>
      <c r="AC24" s="179"/>
    </row>
    <row r="25" spans="5:29" x14ac:dyDescent="0.2">
      <c r="E25" s="179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1050.75</v>
      </c>
      <c r="G25" s="179">
        <f t="shared" si="12"/>
        <v>1</v>
      </c>
      <c r="I25" s="171" t="str">
        <f t="shared" si="13"/>
        <v>ZSE?10</v>
      </c>
      <c r="J25" s="171" t="str">
        <f t="shared" si="14"/>
        <v>ZSES6??10</v>
      </c>
      <c r="K25" s="171" t="str">
        <f>IF(LEFT(M25,3)="768",NA(),RTD("cqg.rtd",,"StudyData", "Close("&amp;$J25&amp;")when (LocalMonth("&amp;$J25&amp;")="&amp;$A$16&amp;" and LocalDay("&amp;$J25&amp;")="&amp;$B$16&amp;" and LocalYear("&amp;$J25&amp;")="&amp;$C$16&amp;")", "Bar", "", "Close",$D$16, "0","ALL","", "",$E$15,$F$15))</f>
        <v/>
      </c>
      <c r="L25" s="171" t="e">
        <f t="shared" si="15"/>
        <v>#VALUE!</v>
      </c>
      <c r="M25" s="171" t="str">
        <f>RTD("cqg.rtd", ,"ContractData", J25,"Symbol",,"T")</f>
        <v>ZSES6H26</v>
      </c>
      <c r="T25" s="179"/>
      <c r="U25" s="179"/>
      <c r="V25" s="179"/>
      <c r="X25" s="179"/>
      <c r="Y25" s="179"/>
      <c r="Z25" s="179"/>
    </row>
    <row r="26" spans="5:29" x14ac:dyDescent="0.2">
      <c r="E26" s="179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1057</v>
      </c>
      <c r="G26" s="179">
        <f t="shared" si="12"/>
        <v>0</v>
      </c>
      <c r="I26" s="171" t="str">
        <f t="shared" si="13"/>
        <v>ZSE?11</v>
      </c>
      <c r="J26" s="171" t="str">
        <f t="shared" si="14"/>
        <v>ZSES6??11</v>
      </c>
      <c r="K26" s="171" t="str">
        <f>IF(LEFT(M26,3)="768",NA(),RTD("cqg.rtd",,"StudyData", "Close("&amp;$J26&amp;")when (LocalMonth("&amp;$J26&amp;")="&amp;$A$16&amp;" and LocalDay("&amp;$J26&amp;")="&amp;$B$16&amp;" and LocalYear("&amp;$J26&amp;")="&amp;$C$16&amp;")", "Bar", "", "Close",$D$16, "0","ALL","", "",$E$15,$F$15))</f>
        <v/>
      </c>
      <c r="L26" s="171" t="e">
        <f t="shared" si="15"/>
        <v>#VALUE!</v>
      </c>
      <c r="M26" s="171" t="str">
        <f>RTD("cqg.rtd", ,"ContractData", J26,"Symbol",,"T")</f>
        <v>ZSES6K26</v>
      </c>
      <c r="T26" s="179"/>
      <c r="U26" s="179"/>
      <c r="V26" s="179"/>
      <c r="X26" s="179"/>
      <c r="Y26" s="179"/>
      <c r="Z26" s="179"/>
    </row>
    <row r="27" spans="5:29" x14ac:dyDescent="0.2">
      <c r="E27" s="179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1064.75</v>
      </c>
      <c r="G27" s="179">
        <f t="shared" si="12"/>
        <v>-0.25</v>
      </c>
      <c r="I27" s="171" t="str">
        <f t="shared" si="13"/>
        <v>ZSE?12</v>
      </c>
      <c r="J27" s="171" t="str">
        <f t="shared" si="14"/>
        <v>ZSES6??12</v>
      </c>
      <c r="K27" s="171" t="str">
        <f>IF(LEFT(M27,3)="768",NA(),RTD("cqg.rtd",,"StudyData", "Close("&amp;$J27&amp;")when (LocalMonth("&amp;$J27&amp;")="&amp;$A$16&amp;" and LocalDay("&amp;$J27&amp;")="&amp;$B$16&amp;" and LocalYear("&amp;$J27&amp;")="&amp;$C$16&amp;")", "Bar", "", "Close",$D$16, "0","ALL","", "",$E$15,$F$15))</f>
        <v/>
      </c>
      <c r="L27" s="171" t="e">
        <f t="shared" si="15"/>
        <v>#VALUE!</v>
      </c>
      <c r="M27" s="171" t="str">
        <f>RTD("cqg.rtd", ,"ContractData", J27,"Symbol",,"T")</f>
        <v>ZSES6N26</v>
      </c>
      <c r="T27" s="179"/>
      <c r="U27" s="179"/>
      <c r="V27" s="179"/>
      <c r="X27" s="179"/>
      <c r="Y27" s="179"/>
      <c r="Z27" s="179"/>
    </row>
    <row r="28" spans="5:29" x14ac:dyDescent="0.2">
      <c r="T28" s="179"/>
      <c r="U28" s="179"/>
      <c r="V28" s="179"/>
      <c r="X28" s="179"/>
      <c r="Y28" s="179"/>
      <c r="Z28" s="179"/>
    </row>
    <row r="29" spans="5:29" x14ac:dyDescent="0.2">
      <c r="E29" s="171" t="str">
        <f>Main!$D$1</f>
        <v>#.00</v>
      </c>
      <c r="J29" s="171" t="str">
        <f>RTD("cqg.rtd", ,"ContractData",J16, "LongDescription",, "T")</f>
        <v>Soybean Calendar Spread 6, (1*ZSEX24-1*ZSEU25)</v>
      </c>
      <c r="T29" s="179"/>
      <c r="U29" s="179"/>
      <c r="V29" s="179"/>
      <c r="X29" s="179"/>
      <c r="Y29" s="179"/>
      <c r="Z29" s="179"/>
    </row>
    <row r="30" spans="5:29" x14ac:dyDescent="0.2">
      <c r="T30" s="179"/>
      <c r="U30" s="179"/>
      <c r="V30" s="179"/>
      <c r="X30" s="179"/>
      <c r="Y30" s="179"/>
      <c r="Z30" s="179"/>
    </row>
    <row r="31" spans="5:29" x14ac:dyDescent="0.2">
      <c r="T31" s="179"/>
      <c r="U31" s="179"/>
      <c r="V31" s="179"/>
      <c r="X31" s="179"/>
      <c r="Y31" s="179"/>
      <c r="Z31" s="179"/>
    </row>
    <row r="32" spans="5:29" x14ac:dyDescent="0.2">
      <c r="R32" s="171" t="s">
        <v>43</v>
      </c>
      <c r="T32" s="179"/>
      <c r="U32" s="179"/>
      <c r="V32" s="179"/>
      <c r="X32" s="179"/>
      <c r="Y32" s="179"/>
      <c r="Z32" s="179"/>
    </row>
    <row r="33" spans="18:26" x14ac:dyDescent="0.2">
      <c r="T33" s="179"/>
      <c r="U33" s="179"/>
      <c r="V33" s="179"/>
    </row>
    <row r="34" spans="18:26" x14ac:dyDescent="0.2">
      <c r="R34" s="171" t="s">
        <v>6</v>
      </c>
      <c r="T34" s="179"/>
      <c r="U34" s="179"/>
      <c r="V34" s="179"/>
      <c r="X34" s="179"/>
      <c r="Y34" s="179"/>
      <c r="Z34" s="171" t="s">
        <v>17</v>
      </c>
    </row>
    <row r="35" spans="18:26" x14ac:dyDescent="0.2">
      <c r="R35" s="171">
        <v>1</v>
      </c>
      <c r="S35" s="171" t="str">
        <f>RTD("cqg.rtd",,"ContractData",Q1&amp;"?1", "Symbol")</f>
        <v>ZSEX24</v>
      </c>
      <c r="T35" s="179"/>
      <c r="U35" s="179"/>
      <c r="V35" s="179"/>
      <c r="X35" s="179"/>
      <c r="Y35" s="179"/>
      <c r="Z35" s="171" t="s">
        <v>18</v>
      </c>
    </row>
    <row r="36" spans="18:26" x14ac:dyDescent="0.2">
      <c r="R36" s="171">
        <f>R35+1</f>
        <v>2</v>
      </c>
      <c r="S36" s="171" t="str">
        <f>RTD("cqg.rtd",,"ContractData",Q1&amp;"?2", "Symbol")</f>
        <v>ZSEF25</v>
      </c>
      <c r="T36" s="179"/>
      <c r="U36" s="179"/>
      <c r="V36" s="179"/>
      <c r="X36" s="179"/>
      <c r="Y36" s="179"/>
      <c r="Z36" s="171" t="s">
        <v>19</v>
      </c>
    </row>
    <row r="37" spans="18:26" x14ac:dyDescent="0.2">
      <c r="R37" s="171">
        <f t="shared" ref="R37:R46" si="16">R36+1</f>
        <v>3</v>
      </c>
      <c r="T37" s="179"/>
      <c r="U37" s="179"/>
      <c r="V37" s="179"/>
      <c r="X37" s="179"/>
      <c r="Y37" s="179"/>
      <c r="Z37" s="171" t="s">
        <v>20</v>
      </c>
    </row>
    <row r="38" spans="18:26" x14ac:dyDescent="0.2">
      <c r="R38" s="171">
        <f t="shared" si="16"/>
        <v>4</v>
      </c>
      <c r="T38" s="179"/>
      <c r="U38" s="179"/>
      <c r="V38" s="179"/>
      <c r="X38" s="179"/>
      <c r="Y38" s="179"/>
      <c r="Z38" s="171" t="s">
        <v>21</v>
      </c>
    </row>
    <row r="39" spans="18:26" x14ac:dyDescent="0.2">
      <c r="R39" s="171">
        <f t="shared" si="16"/>
        <v>5</v>
      </c>
      <c r="T39" s="179"/>
      <c r="U39" s="179"/>
      <c r="V39" s="179"/>
      <c r="X39" s="179"/>
      <c r="Y39" s="179"/>
      <c r="Z39" s="171" t="s">
        <v>22</v>
      </c>
    </row>
    <row r="40" spans="18:26" x14ac:dyDescent="0.2">
      <c r="R40" s="171">
        <f t="shared" si="16"/>
        <v>6</v>
      </c>
      <c r="T40" s="179"/>
      <c r="U40" s="179"/>
      <c r="V40" s="179"/>
      <c r="X40" s="179"/>
      <c r="Y40" s="179"/>
      <c r="Z40" s="171" t="s">
        <v>23</v>
      </c>
    </row>
    <row r="41" spans="18:26" x14ac:dyDescent="0.2">
      <c r="R41" s="171">
        <f t="shared" si="16"/>
        <v>7</v>
      </c>
      <c r="T41" s="179"/>
      <c r="U41" s="179"/>
      <c r="V41" s="179"/>
      <c r="X41" s="179"/>
      <c r="Y41" s="179"/>
      <c r="Z41" s="171" t="s">
        <v>24</v>
      </c>
    </row>
    <row r="42" spans="18:26" x14ac:dyDescent="0.2">
      <c r="R42" s="171">
        <f t="shared" si="16"/>
        <v>8</v>
      </c>
      <c r="T42" s="179"/>
      <c r="U42" s="179"/>
      <c r="V42" s="179"/>
      <c r="X42" s="179"/>
      <c r="Y42" s="179"/>
      <c r="Z42" s="171" t="s">
        <v>25</v>
      </c>
    </row>
    <row r="43" spans="18:26" x14ac:dyDescent="0.2">
      <c r="R43" s="171">
        <f t="shared" si="16"/>
        <v>9</v>
      </c>
      <c r="T43" s="179"/>
      <c r="U43" s="179"/>
      <c r="V43" s="179"/>
      <c r="X43" s="179"/>
      <c r="Y43" s="179"/>
      <c r="Z43" s="171" t="s">
        <v>26</v>
      </c>
    </row>
    <row r="44" spans="18:26" x14ac:dyDescent="0.2">
      <c r="R44" s="171">
        <f t="shared" si="16"/>
        <v>10</v>
      </c>
      <c r="T44" s="179"/>
      <c r="U44" s="179"/>
      <c r="V44" s="179"/>
    </row>
    <row r="45" spans="18:26" x14ac:dyDescent="0.2">
      <c r="R45" s="171">
        <f t="shared" si="16"/>
        <v>11</v>
      </c>
    </row>
    <row r="46" spans="18:26" x14ac:dyDescent="0.2">
      <c r="R46" s="171">
        <f t="shared" si="16"/>
        <v>12</v>
      </c>
      <c r="Z46" s="179"/>
    </row>
  </sheetData>
  <sheetProtection algorithmName="SHA-512" hashValue="G6yoqweamVjE0sO8WLbNcsqC0PXZ1eYXKLRCBH2+nrR/Nt8BFeZtgV0nraHq0lYI4iW9NEB30j+sf9s/uBOilg==" saltValue="zY4dFxobDpwqxmoh5/WdD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CLE</vt:lpstr>
      <vt:lpstr>CLE2</vt:lpstr>
      <vt:lpstr>CLE3</vt:lpstr>
      <vt:lpstr>CLE4</vt:lpstr>
      <vt:lpstr>CLE5</vt:lpstr>
      <vt:lpstr>CLE6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2024-11-11T15:59:37Z</dcterms:modified>
</cp:coreProperties>
</file>