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NASDAQ100 GCIS/"/>
    </mc:Choice>
  </mc:AlternateContent>
  <xr:revisionPtr revIDLastSave="0" documentId="8_{592716C6-2E03-4F6C-A7B9-2D52E8077948}" xr6:coauthVersionLast="47" xr6:coauthVersionMax="47" xr10:uidLastSave="{00000000-0000-0000-0000-000000000000}"/>
  <bookViews>
    <workbookView xWindow="-120" yWindow="-120" windowWidth="29040" windowHeight="16440" xr2:uid="{2361F772-2A81-48BD-9F8E-400E66D5F614}"/>
  </bookViews>
  <sheets>
    <sheet name="Chart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7" i="2" l="1"/>
  <c r="X47" i="2"/>
  <c r="W47" i="2"/>
  <c r="V47" i="2"/>
  <c r="W45" i="2"/>
  <c r="T47" i="2"/>
  <c r="S47" i="2"/>
  <c r="R47" i="2"/>
  <c r="Q47" i="2"/>
  <c r="R45" i="2"/>
  <c r="O47" i="2"/>
  <c r="N47" i="2"/>
  <c r="M47" i="2"/>
  <c r="L47" i="2"/>
  <c r="M45" i="2"/>
  <c r="J47" i="2"/>
  <c r="I47" i="2"/>
  <c r="H47" i="2"/>
  <c r="G47" i="2"/>
  <c r="H45" i="2"/>
  <c r="Y43" i="2"/>
  <c r="X43" i="2"/>
  <c r="W43" i="2"/>
  <c r="V43" i="2"/>
  <c r="W41" i="2"/>
  <c r="Y39" i="2"/>
  <c r="X39" i="2"/>
  <c r="W39" i="2"/>
  <c r="V39" i="2"/>
  <c r="W37" i="2"/>
  <c r="T43" i="2"/>
  <c r="S43" i="2"/>
  <c r="R43" i="2"/>
  <c r="Q43" i="2"/>
  <c r="R41" i="2"/>
  <c r="T39" i="2"/>
  <c r="S39" i="2"/>
  <c r="R39" i="2"/>
  <c r="Q39" i="2"/>
  <c r="R37" i="2"/>
  <c r="O43" i="2"/>
  <c r="N43" i="2"/>
  <c r="M43" i="2"/>
  <c r="L43" i="2"/>
  <c r="M41" i="2"/>
  <c r="O39" i="2"/>
  <c r="N39" i="2"/>
  <c r="M39" i="2"/>
  <c r="L39" i="2"/>
  <c r="M37" i="2"/>
  <c r="E47" i="2"/>
  <c r="D47" i="2"/>
  <c r="C47" i="2"/>
  <c r="B47" i="2"/>
  <c r="C45" i="2"/>
  <c r="J43" i="2"/>
  <c r="I43" i="2"/>
  <c r="H43" i="2"/>
  <c r="G43" i="2"/>
  <c r="H41" i="2"/>
  <c r="H37" i="2"/>
  <c r="C41" i="2"/>
  <c r="J39" i="2"/>
  <c r="I39" i="2"/>
  <c r="H39" i="2"/>
  <c r="G39" i="2"/>
  <c r="E43" i="2"/>
  <c r="D43" i="2"/>
  <c r="C43" i="2"/>
  <c r="B43" i="2"/>
  <c r="E39" i="2"/>
  <c r="D39" i="2"/>
  <c r="C39" i="2"/>
  <c r="C37" i="2"/>
  <c r="B39" i="2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H3" i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24" i="1" l="1"/>
  <c r="E16" i="1"/>
  <c r="E7" i="1"/>
  <c r="E52" i="1"/>
  <c r="E46" i="1"/>
  <c r="E43" i="1"/>
  <c r="E41" i="1"/>
  <c r="E38" i="1"/>
  <c r="E33" i="1"/>
  <c r="E29" i="1"/>
  <c r="E26" i="1"/>
  <c r="E51" i="1"/>
  <c r="E47" i="1"/>
  <c r="E32" i="1"/>
  <c r="E50" i="1"/>
  <c r="E48" i="1"/>
  <c r="E40" i="1"/>
  <c r="E37" i="1"/>
  <c r="E49" i="1"/>
  <c r="E42" i="1"/>
  <c r="E39" i="1"/>
  <c r="E36" i="1"/>
  <c r="E34" i="1"/>
  <c r="E30" i="1"/>
  <c r="E28" i="1"/>
  <c r="E35" i="1"/>
  <c r="E25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0" i="1"/>
  <c r="E58" i="1"/>
  <c r="E57" i="1"/>
  <c r="E53" i="1"/>
  <c r="E23" i="1"/>
  <c r="E62" i="1"/>
  <c r="E21" i="1"/>
  <c r="E20" i="1"/>
  <c r="E19" i="1"/>
  <c r="E18" i="1"/>
  <c r="E17" i="1"/>
  <c r="E22" i="1"/>
  <c r="E15" i="1"/>
  <c r="E14" i="1"/>
  <c r="E13" i="1"/>
  <c r="E12" i="1"/>
  <c r="E11" i="1"/>
  <c r="E10" i="1"/>
  <c r="E9" i="1"/>
  <c r="E8" i="1"/>
  <c r="E84" i="1"/>
  <c r="E6" i="1"/>
  <c r="E5" i="1"/>
  <c r="E4" i="1"/>
  <c r="E3" i="1"/>
  <c r="E61" i="1"/>
  <c r="E59" i="1"/>
  <c r="E56" i="1"/>
  <c r="E55" i="1"/>
  <c r="E54" i="1"/>
  <c r="E63" i="1"/>
  <c r="E64" i="1"/>
  <c r="E87" i="1"/>
  <c r="E27" i="1"/>
  <c r="E86" i="1"/>
  <c r="E85" i="1"/>
  <c r="E90" i="1"/>
  <c r="E31" i="1"/>
  <c r="E89" i="1"/>
  <c r="E88" i="1"/>
  <c r="E104" i="1"/>
  <c r="E98" i="1"/>
  <c r="E91" i="1"/>
  <c r="E45" i="1"/>
  <c r="E44" i="1"/>
  <c r="E96" i="1"/>
  <c r="E101" i="1"/>
  <c r="E99" i="1"/>
  <c r="E97" i="1"/>
  <c r="E95" i="1"/>
  <c r="E93" i="1"/>
  <c r="E103" i="1"/>
  <c r="E102" i="1"/>
  <c r="E94" i="1"/>
  <c r="E100" i="1"/>
  <c r="E92" i="1"/>
  <c r="E2" i="1"/>
  <c r="J104" i="1" l="1"/>
  <c r="J87" i="1"/>
  <c r="J64" i="1"/>
  <c r="J50" i="1"/>
  <c r="J44" i="1"/>
  <c r="J38" i="1"/>
  <c r="J26" i="1"/>
  <c r="J20" i="1"/>
  <c r="J19" i="1"/>
  <c r="J18" i="1"/>
  <c r="J17" i="1"/>
  <c r="J16" i="1"/>
  <c r="J15" i="1"/>
  <c r="J14" i="1"/>
  <c r="J13" i="1"/>
  <c r="J12" i="1"/>
  <c r="J11" i="1"/>
  <c r="J10" i="1"/>
  <c r="J100" i="1"/>
  <c r="J98" i="1"/>
  <c r="J97" i="1"/>
  <c r="J95" i="1"/>
  <c r="J94" i="1"/>
  <c r="J92" i="1"/>
  <c r="J89" i="1"/>
  <c r="J86" i="1"/>
  <c r="J82" i="1"/>
  <c r="J77" i="1"/>
  <c r="J75" i="1"/>
  <c r="J70" i="1"/>
  <c r="J68" i="1"/>
  <c r="J66" i="1"/>
  <c r="J60" i="1"/>
  <c r="J58" i="1"/>
  <c r="J55" i="1"/>
  <c r="J46" i="1"/>
  <c r="J34" i="1"/>
  <c r="J29" i="1"/>
  <c r="J28" i="1"/>
  <c r="J24" i="1"/>
  <c r="J23" i="1"/>
  <c r="J9" i="1"/>
  <c r="J7" i="1"/>
  <c r="J102" i="1"/>
  <c r="J22" i="1"/>
  <c r="J3" i="1"/>
  <c r="J96" i="1"/>
  <c r="J85" i="1"/>
  <c r="J80" i="1"/>
  <c r="J76" i="1"/>
  <c r="J74" i="1"/>
  <c r="J72" i="1"/>
  <c r="J71" i="1"/>
  <c r="J69" i="1"/>
  <c r="J67" i="1"/>
  <c r="J63" i="1"/>
  <c r="J56" i="1"/>
  <c r="J53" i="1"/>
  <c r="J52" i="1"/>
  <c r="J51" i="1"/>
  <c r="J47" i="1"/>
  <c r="J39" i="1"/>
  <c r="J37" i="1"/>
  <c r="J35" i="1"/>
  <c r="J32" i="1"/>
  <c r="J30" i="1"/>
  <c r="J27" i="1"/>
  <c r="J21" i="1"/>
  <c r="J5" i="1"/>
  <c r="J103" i="1"/>
  <c r="J91" i="1"/>
  <c r="J84" i="1"/>
  <c r="J81" i="1"/>
  <c r="J79" i="1"/>
  <c r="J62" i="1"/>
  <c r="J59" i="1"/>
  <c r="J54" i="1"/>
  <c r="J49" i="1"/>
  <c r="J48" i="1"/>
  <c r="J45" i="1"/>
  <c r="J43" i="1"/>
  <c r="J41" i="1"/>
  <c r="J36" i="1"/>
  <c r="J8" i="1"/>
  <c r="J101" i="1"/>
  <c r="J99" i="1"/>
  <c r="J93" i="1"/>
  <c r="J90" i="1"/>
  <c r="J88" i="1"/>
  <c r="J83" i="1"/>
  <c r="J78" i="1"/>
  <c r="J73" i="1"/>
  <c r="J65" i="1"/>
  <c r="J61" i="1"/>
  <c r="J57" i="1"/>
  <c r="J42" i="1"/>
  <c r="J40" i="1"/>
  <c r="J33" i="1"/>
  <c r="J31" i="1"/>
  <c r="J25" i="1"/>
  <c r="J6" i="1"/>
  <c r="J4" i="1"/>
  <c r="J2" i="1"/>
  <c r="I2" i="1"/>
  <c r="I104" i="1"/>
  <c r="L104" i="1" s="1"/>
  <c r="M104" i="1" s="1"/>
  <c r="I99" i="1"/>
  <c r="L99" i="1" s="1"/>
  <c r="M99" i="1" s="1"/>
  <c r="I92" i="1"/>
  <c r="L92" i="1" s="1"/>
  <c r="M92" i="1" s="1"/>
  <c r="I89" i="1"/>
  <c r="L89" i="1" s="1"/>
  <c r="M89" i="1" s="1"/>
  <c r="I87" i="1"/>
  <c r="L87" i="1" s="1"/>
  <c r="M87" i="1" s="1"/>
  <c r="I83" i="1"/>
  <c r="L83" i="1" s="1"/>
  <c r="M83" i="1" s="1"/>
  <c r="I80" i="1"/>
  <c r="L80" i="1" s="1"/>
  <c r="M80" i="1" s="1"/>
  <c r="I76" i="1"/>
  <c r="L76" i="1" s="1"/>
  <c r="M76" i="1" s="1"/>
  <c r="I72" i="1"/>
  <c r="L72" i="1" s="1"/>
  <c r="M72" i="1" s="1"/>
  <c r="I70" i="1"/>
  <c r="L70" i="1" s="1"/>
  <c r="M70" i="1" s="1"/>
  <c r="I69" i="1"/>
  <c r="L69" i="1" s="1"/>
  <c r="M69" i="1" s="1"/>
  <c r="I67" i="1"/>
  <c r="L67" i="1" s="1"/>
  <c r="M67" i="1" s="1"/>
  <c r="I66" i="1"/>
  <c r="L66" i="1" s="1"/>
  <c r="M66" i="1" s="1"/>
  <c r="I64" i="1"/>
  <c r="L64" i="1" s="1"/>
  <c r="M64" i="1" s="1"/>
  <c r="I57" i="1"/>
  <c r="L57" i="1" s="1"/>
  <c r="M57" i="1" s="1"/>
  <c r="I55" i="1"/>
  <c r="L55" i="1" s="1"/>
  <c r="M55" i="1" s="1"/>
  <c r="I53" i="1"/>
  <c r="L53" i="1" s="1"/>
  <c r="M53" i="1" s="1"/>
  <c r="I50" i="1"/>
  <c r="L50" i="1" s="1"/>
  <c r="M50" i="1" s="1"/>
  <c r="I46" i="1"/>
  <c r="L46" i="1" s="1"/>
  <c r="M46" i="1" s="1"/>
  <c r="I44" i="1"/>
  <c r="L44" i="1" s="1"/>
  <c r="M44" i="1" s="1"/>
  <c r="I42" i="1"/>
  <c r="L42" i="1" s="1"/>
  <c r="M42" i="1" s="1"/>
  <c r="I38" i="1"/>
  <c r="L38" i="1" s="1"/>
  <c r="M38" i="1" s="1"/>
  <c r="I35" i="1"/>
  <c r="L35" i="1" s="1"/>
  <c r="M35" i="1" s="1"/>
  <c r="I34" i="1"/>
  <c r="L34" i="1" s="1"/>
  <c r="M34" i="1" s="1"/>
  <c r="I33" i="1"/>
  <c r="L33" i="1" s="1"/>
  <c r="M33" i="1" s="1"/>
  <c r="I32" i="1"/>
  <c r="L32" i="1" s="1"/>
  <c r="M32" i="1" s="1"/>
  <c r="I31" i="1"/>
  <c r="L31" i="1" s="1"/>
  <c r="M31" i="1" s="1"/>
  <c r="I29" i="1"/>
  <c r="L29" i="1" s="1"/>
  <c r="M29" i="1" s="1"/>
  <c r="I22" i="1"/>
  <c r="L22" i="1" s="1"/>
  <c r="M22" i="1" s="1"/>
  <c r="I20" i="1"/>
  <c r="L20" i="1" s="1"/>
  <c r="M20" i="1" s="1"/>
  <c r="I17" i="1"/>
  <c r="L17" i="1" s="1"/>
  <c r="M17" i="1" s="1"/>
  <c r="I9" i="1"/>
  <c r="L9" i="1" s="1"/>
  <c r="M9" i="1" s="1"/>
  <c r="I28" i="1"/>
  <c r="L28" i="1" s="1"/>
  <c r="M28" i="1" s="1"/>
  <c r="I27" i="1"/>
  <c r="L27" i="1" s="1"/>
  <c r="M27" i="1" s="1"/>
  <c r="I26" i="1"/>
  <c r="L26" i="1" s="1"/>
  <c r="M26" i="1" s="1"/>
  <c r="I25" i="1"/>
  <c r="L25" i="1" s="1"/>
  <c r="M25" i="1" s="1"/>
  <c r="I24" i="1"/>
  <c r="L24" i="1" s="1"/>
  <c r="M24" i="1" s="1"/>
  <c r="I23" i="1"/>
  <c r="L23" i="1" s="1"/>
  <c r="M23" i="1" s="1"/>
  <c r="I19" i="1"/>
  <c r="L19" i="1" s="1"/>
  <c r="M19" i="1" s="1"/>
  <c r="I11" i="1"/>
  <c r="L11" i="1" s="1"/>
  <c r="M11" i="1" s="1"/>
  <c r="I7" i="1"/>
  <c r="L7" i="1" s="1"/>
  <c r="M7" i="1" s="1"/>
  <c r="I101" i="1"/>
  <c r="L101" i="1" s="1"/>
  <c r="M101" i="1" s="1"/>
  <c r="I79" i="1"/>
  <c r="L79" i="1" s="1"/>
  <c r="M79" i="1" s="1"/>
  <c r="I74" i="1"/>
  <c r="L74" i="1" s="1"/>
  <c r="M74" i="1" s="1"/>
  <c r="I68" i="1"/>
  <c r="L68" i="1" s="1"/>
  <c r="M68" i="1" s="1"/>
  <c r="I60" i="1"/>
  <c r="L60" i="1" s="1"/>
  <c r="M60" i="1" s="1"/>
  <c r="I58" i="1"/>
  <c r="L58" i="1" s="1"/>
  <c r="M58" i="1" s="1"/>
  <c r="I47" i="1"/>
  <c r="L47" i="1" s="1"/>
  <c r="M47" i="1" s="1"/>
  <c r="I100" i="1"/>
  <c r="L100" i="1" s="1"/>
  <c r="M100" i="1" s="1"/>
  <c r="I78" i="1"/>
  <c r="L78" i="1" s="1"/>
  <c r="M78" i="1" s="1"/>
  <c r="I73" i="1"/>
  <c r="L73" i="1" s="1"/>
  <c r="M73" i="1" s="1"/>
  <c r="I65" i="1"/>
  <c r="L65" i="1" s="1"/>
  <c r="M65" i="1" s="1"/>
  <c r="I62" i="1"/>
  <c r="L62" i="1" s="1"/>
  <c r="M62" i="1" s="1"/>
  <c r="I52" i="1"/>
  <c r="L52" i="1" s="1"/>
  <c r="M52" i="1" s="1"/>
  <c r="I45" i="1"/>
  <c r="L45" i="1" s="1"/>
  <c r="M45" i="1" s="1"/>
  <c r="I41" i="1"/>
  <c r="L41" i="1" s="1"/>
  <c r="M41" i="1" s="1"/>
  <c r="I40" i="1"/>
  <c r="L40" i="1" s="1"/>
  <c r="M40" i="1" s="1"/>
  <c r="I37" i="1"/>
  <c r="L37" i="1" s="1"/>
  <c r="M37" i="1" s="1"/>
  <c r="I36" i="1"/>
  <c r="L36" i="1" s="1"/>
  <c r="M36" i="1" s="1"/>
  <c r="I15" i="1"/>
  <c r="L15" i="1" s="1"/>
  <c r="M15" i="1" s="1"/>
  <c r="I102" i="1"/>
  <c r="L102" i="1" s="1"/>
  <c r="M102" i="1" s="1"/>
  <c r="I75" i="1"/>
  <c r="L75" i="1" s="1"/>
  <c r="M75" i="1" s="1"/>
  <c r="I71" i="1"/>
  <c r="L71" i="1" s="1"/>
  <c r="M71" i="1" s="1"/>
  <c r="I39" i="1"/>
  <c r="L39" i="1" s="1"/>
  <c r="M39" i="1" s="1"/>
  <c r="I30" i="1"/>
  <c r="L30" i="1" s="1"/>
  <c r="M30" i="1" s="1"/>
  <c r="I21" i="1"/>
  <c r="L21" i="1" s="1"/>
  <c r="M21" i="1" s="1"/>
  <c r="I18" i="1"/>
  <c r="L18" i="1" s="1"/>
  <c r="M18" i="1" s="1"/>
  <c r="I16" i="1"/>
  <c r="L16" i="1" s="1"/>
  <c r="M16" i="1" s="1"/>
  <c r="I13" i="1"/>
  <c r="L13" i="1" s="1"/>
  <c r="M13" i="1" s="1"/>
  <c r="I6" i="1"/>
  <c r="L6" i="1" s="1"/>
  <c r="M6" i="1" s="1"/>
  <c r="I3" i="1"/>
  <c r="L3" i="1" s="1"/>
  <c r="M3" i="1" s="1"/>
  <c r="I103" i="1"/>
  <c r="L103" i="1" s="1"/>
  <c r="M103" i="1" s="1"/>
  <c r="I98" i="1"/>
  <c r="L98" i="1" s="1"/>
  <c r="M98" i="1" s="1"/>
  <c r="I97" i="1"/>
  <c r="L97" i="1" s="1"/>
  <c r="M97" i="1" s="1"/>
  <c r="I96" i="1"/>
  <c r="L96" i="1" s="1"/>
  <c r="M96" i="1" s="1"/>
  <c r="I95" i="1"/>
  <c r="L95" i="1" s="1"/>
  <c r="M95" i="1" s="1"/>
  <c r="I94" i="1"/>
  <c r="L94" i="1" s="1"/>
  <c r="M94" i="1" s="1"/>
  <c r="I93" i="1"/>
  <c r="L93" i="1" s="1"/>
  <c r="M93" i="1" s="1"/>
  <c r="I90" i="1"/>
  <c r="L90" i="1" s="1"/>
  <c r="M90" i="1" s="1"/>
  <c r="I88" i="1"/>
  <c r="L88" i="1" s="1"/>
  <c r="M88" i="1" s="1"/>
  <c r="I85" i="1"/>
  <c r="L85" i="1" s="1"/>
  <c r="M85" i="1" s="1"/>
  <c r="I84" i="1"/>
  <c r="L84" i="1" s="1"/>
  <c r="M84" i="1" s="1"/>
  <c r="I82" i="1"/>
  <c r="L82" i="1" s="1"/>
  <c r="M82" i="1" s="1"/>
  <c r="I81" i="1"/>
  <c r="L81" i="1" s="1"/>
  <c r="M81" i="1" s="1"/>
  <c r="I63" i="1"/>
  <c r="L63" i="1" s="1"/>
  <c r="M63" i="1" s="1"/>
  <c r="I61" i="1"/>
  <c r="L61" i="1" s="1"/>
  <c r="M61" i="1" s="1"/>
  <c r="I59" i="1"/>
  <c r="L59" i="1" s="1"/>
  <c r="M59" i="1" s="1"/>
  <c r="I56" i="1"/>
  <c r="L56" i="1" s="1"/>
  <c r="M56" i="1" s="1"/>
  <c r="I54" i="1"/>
  <c r="L54" i="1" s="1"/>
  <c r="M54" i="1" s="1"/>
  <c r="I51" i="1"/>
  <c r="L51" i="1" s="1"/>
  <c r="M51" i="1" s="1"/>
  <c r="I48" i="1"/>
  <c r="L48" i="1" s="1"/>
  <c r="M48" i="1" s="1"/>
  <c r="I43" i="1"/>
  <c r="L43" i="1" s="1"/>
  <c r="M43" i="1" s="1"/>
  <c r="I91" i="1"/>
  <c r="L91" i="1" s="1"/>
  <c r="M91" i="1" s="1"/>
  <c r="I86" i="1"/>
  <c r="L86" i="1" s="1"/>
  <c r="M86" i="1" s="1"/>
  <c r="I77" i="1"/>
  <c r="L77" i="1" s="1"/>
  <c r="M77" i="1" s="1"/>
  <c r="I49" i="1"/>
  <c r="L49" i="1" s="1"/>
  <c r="M49" i="1" s="1"/>
  <c r="I14" i="1"/>
  <c r="L14" i="1" s="1"/>
  <c r="M14" i="1" s="1"/>
  <c r="I12" i="1"/>
  <c r="L12" i="1" s="1"/>
  <c r="M12" i="1" s="1"/>
  <c r="I10" i="1"/>
  <c r="L10" i="1" s="1"/>
  <c r="M10" i="1" s="1"/>
  <c r="I8" i="1"/>
  <c r="L8" i="1" s="1"/>
  <c r="M8" i="1" s="1"/>
  <c r="I5" i="1"/>
  <c r="L5" i="1" s="1"/>
  <c r="M5" i="1" s="1"/>
  <c r="I4" i="1"/>
  <c r="L4" i="1" s="1"/>
  <c r="M4" i="1" s="1"/>
  <c r="L2" i="1" l="1"/>
  <c r="M2" i="1" s="1"/>
  <c r="S10" i="1"/>
  <c r="S5" i="1"/>
  <c r="S9" i="1"/>
  <c r="S6" i="1"/>
  <c r="S8" i="1"/>
  <c r="S4" i="1"/>
  <c r="S11" i="1"/>
  <c r="S7" i="1"/>
  <c r="S12" i="1"/>
  <c r="S3" i="1"/>
  <c r="S2" i="1"/>
  <c r="K2" i="1"/>
  <c r="K104" i="1"/>
  <c r="K87" i="1"/>
  <c r="K64" i="1"/>
  <c r="K50" i="1"/>
  <c r="K44" i="1"/>
  <c r="K38" i="1"/>
  <c r="K19" i="1"/>
  <c r="K18" i="1"/>
  <c r="K10" i="1"/>
  <c r="K98" i="1"/>
  <c r="K95" i="1"/>
  <c r="K94" i="1"/>
  <c r="K89" i="1"/>
  <c r="K86" i="1"/>
  <c r="K77" i="1"/>
  <c r="K66" i="1"/>
  <c r="K58" i="1"/>
  <c r="K34" i="1"/>
  <c r="K29" i="1"/>
  <c r="K23" i="1"/>
  <c r="K22" i="1"/>
  <c r="K3" i="1"/>
  <c r="K85" i="1"/>
  <c r="K74" i="1"/>
  <c r="K72" i="1"/>
  <c r="K14" i="1"/>
  <c r="K13" i="1"/>
  <c r="K12" i="1"/>
  <c r="K11" i="1"/>
  <c r="K68" i="1"/>
  <c r="K55" i="1"/>
  <c r="K24" i="1"/>
  <c r="K80" i="1"/>
  <c r="K6" i="1"/>
  <c r="K71" i="1"/>
  <c r="K69" i="1"/>
  <c r="K67" i="1"/>
  <c r="K63" i="1"/>
  <c r="K56" i="1"/>
  <c r="K53" i="1"/>
  <c r="K52" i="1"/>
  <c r="K51" i="1"/>
  <c r="K47" i="1"/>
  <c r="K39" i="1"/>
  <c r="K37" i="1"/>
  <c r="K35" i="1"/>
  <c r="K32" i="1"/>
  <c r="K54" i="1"/>
  <c r="K48" i="1"/>
  <c r="K43" i="1"/>
  <c r="K36" i="1"/>
  <c r="K99" i="1"/>
  <c r="K90" i="1"/>
  <c r="K83" i="1"/>
  <c r="K78" i="1"/>
  <c r="K65" i="1"/>
  <c r="K42" i="1"/>
  <c r="K25" i="1"/>
  <c r="K30" i="1"/>
  <c r="K27" i="1"/>
  <c r="K21" i="1"/>
  <c r="K5" i="1"/>
  <c r="K103" i="1"/>
  <c r="K91" i="1"/>
  <c r="K84" i="1"/>
  <c r="K81" i="1"/>
  <c r="K79" i="1"/>
  <c r="K62" i="1"/>
  <c r="K59" i="1"/>
  <c r="K49" i="1"/>
  <c r="K45" i="1"/>
  <c r="K41" i="1"/>
  <c r="K8" i="1"/>
  <c r="K101" i="1"/>
  <c r="K93" i="1"/>
  <c r="K88" i="1"/>
  <c r="K73" i="1"/>
  <c r="K61" i="1"/>
  <c r="K57" i="1"/>
  <c r="K40" i="1"/>
  <c r="K33" i="1"/>
  <c r="K26" i="1"/>
  <c r="K16" i="1"/>
  <c r="K97" i="1"/>
  <c r="K82" i="1"/>
  <c r="K75" i="1"/>
  <c r="K7" i="1"/>
  <c r="K96" i="1"/>
  <c r="K4" i="1"/>
  <c r="K20" i="1"/>
  <c r="K17" i="1"/>
  <c r="K15" i="1"/>
  <c r="K100" i="1"/>
  <c r="K92" i="1"/>
  <c r="K70" i="1"/>
  <c r="K60" i="1"/>
  <c r="K46" i="1"/>
  <c r="K28" i="1"/>
  <c r="K9" i="1"/>
  <c r="K102" i="1"/>
  <c r="K76" i="1"/>
  <c r="K31" i="1"/>
  <c r="O104" i="1" l="1"/>
  <c r="O96" i="1"/>
  <c r="O94" i="1"/>
  <c r="O92" i="1"/>
  <c r="O90" i="1"/>
  <c r="O88" i="1"/>
  <c r="O86" i="1"/>
  <c r="O85" i="1"/>
  <c r="O80" i="1"/>
  <c r="O79" i="1"/>
  <c r="O77" i="1"/>
  <c r="O75" i="1"/>
  <c r="O72" i="1"/>
  <c r="O69" i="1"/>
  <c r="O66" i="1"/>
  <c r="O64" i="1"/>
  <c r="O63" i="1"/>
  <c r="O61" i="1"/>
  <c r="O101" i="1"/>
  <c r="O82" i="1"/>
  <c r="O74" i="1"/>
  <c r="O68" i="1"/>
  <c r="O65" i="1"/>
  <c r="O62" i="1"/>
  <c r="O100" i="1"/>
  <c r="O78" i="1"/>
  <c r="O71" i="1"/>
  <c r="O102" i="1"/>
  <c r="O98" i="1"/>
  <c r="O95" i="1"/>
  <c r="O91" i="1"/>
  <c r="O89" i="1"/>
  <c r="O87" i="1"/>
  <c r="O84" i="1"/>
  <c r="O81" i="1"/>
  <c r="O73" i="1"/>
  <c r="O70" i="1"/>
  <c r="O67" i="1"/>
  <c r="O60" i="1"/>
  <c r="O99" i="1"/>
  <c r="O83" i="1"/>
  <c r="O76" i="1"/>
  <c r="O103" i="1"/>
  <c r="O97" i="1"/>
  <c r="O93" i="1"/>
  <c r="O59" i="1"/>
  <c r="O53" i="1"/>
  <c r="O58" i="1"/>
  <c r="O52" i="1"/>
  <c r="O56" i="1"/>
  <c r="O54" i="1"/>
  <c r="O57" i="1"/>
  <c r="O55" i="1"/>
  <c r="O51" i="1"/>
  <c r="O37" i="1"/>
  <c r="O50" i="1"/>
  <c r="O47" i="1"/>
  <c r="O45" i="1"/>
  <c r="O43" i="1"/>
  <c r="O42" i="1"/>
  <c r="O40" i="1"/>
  <c r="O49" i="1"/>
  <c r="O48" i="1"/>
  <c r="O46" i="1"/>
  <c r="O44" i="1"/>
  <c r="O41" i="1"/>
  <c r="O39" i="1"/>
  <c r="O38" i="1"/>
  <c r="O36" i="1"/>
  <c r="O35" i="1"/>
  <c r="O32" i="1"/>
  <c r="O30" i="1"/>
  <c r="O29" i="1"/>
  <c r="O28" i="1"/>
  <c r="O34" i="1"/>
  <c r="O33" i="1"/>
  <c r="O31" i="1"/>
  <c r="O27" i="1"/>
  <c r="O26" i="1"/>
  <c r="O25" i="1"/>
  <c r="O15" i="1"/>
  <c r="O22" i="1"/>
  <c r="O21" i="1"/>
  <c r="O20" i="1"/>
  <c r="O16" i="1"/>
  <c r="O14" i="1"/>
  <c r="O13" i="1"/>
  <c r="O23" i="1"/>
  <c r="O18" i="1"/>
  <c r="O24" i="1"/>
  <c r="O19" i="1"/>
  <c r="O17" i="1"/>
  <c r="O12" i="1"/>
  <c r="O11" i="1"/>
  <c r="O10" i="1"/>
  <c r="O9" i="1"/>
  <c r="O8" i="1"/>
  <c r="O7" i="1"/>
  <c r="O6" i="1"/>
  <c r="O5" i="1"/>
  <c r="O4" i="1"/>
  <c r="O3" i="1"/>
  <c r="O2" i="1"/>
  <c r="P104" i="1" l="1"/>
  <c r="Q104" i="1"/>
  <c r="P96" i="1"/>
  <c r="Q96" i="1"/>
  <c r="P94" i="1"/>
  <c r="Q94" i="1"/>
  <c r="P92" i="1"/>
  <c r="Q92" i="1"/>
  <c r="P90" i="1"/>
  <c r="Q90" i="1"/>
  <c r="P88" i="1"/>
  <c r="Q88" i="1"/>
  <c r="P86" i="1"/>
  <c r="Q86" i="1"/>
  <c r="P85" i="1"/>
  <c r="Q85" i="1"/>
  <c r="P80" i="1"/>
  <c r="Q80" i="1"/>
  <c r="P79" i="1"/>
  <c r="Q79" i="1"/>
  <c r="P77" i="1"/>
  <c r="Q77" i="1"/>
  <c r="P75" i="1"/>
  <c r="Q75" i="1"/>
  <c r="P72" i="1"/>
  <c r="Q72" i="1"/>
  <c r="P69" i="1"/>
  <c r="Q69" i="1"/>
  <c r="P66" i="1"/>
  <c r="Q66" i="1"/>
  <c r="P64" i="1"/>
  <c r="Q64" i="1"/>
  <c r="P63" i="1"/>
  <c r="Q63" i="1"/>
  <c r="P61" i="1"/>
  <c r="Q61" i="1"/>
  <c r="P101" i="1"/>
  <c r="Q101" i="1"/>
  <c r="P82" i="1"/>
  <c r="Q82" i="1"/>
  <c r="P74" i="1"/>
  <c r="Q74" i="1"/>
  <c r="P68" i="1"/>
  <c r="Q68" i="1"/>
  <c r="P65" i="1"/>
  <c r="Q65" i="1"/>
  <c r="P62" i="1"/>
  <c r="Q62" i="1"/>
  <c r="P100" i="1"/>
  <c r="Q100" i="1"/>
  <c r="P78" i="1"/>
  <c r="Q78" i="1"/>
  <c r="P71" i="1"/>
  <c r="Q71" i="1"/>
  <c r="P102" i="1"/>
  <c r="Q102" i="1"/>
  <c r="P98" i="1"/>
  <c r="Q98" i="1"/>
  <c r="P95" i="1"/>
  <c r="Q95" i="1"/>
  <c r="P91" i="1"/>
  <c r="Q91" i="1"/>
  <c r="P89" i="1"/>
  <c r="Q89" i="1"/>
  <c r="P87" i="1"/>
  <c r="Q87" i="1"/>
  <c r="P84" i="1"/>
  <c r="Q84" i="1"/>
  <c r="P81" i="1"/>
  <c r="Q81" i="1"/>
  <c r="P73" i="1"/>
  <c r="Q73" i="1"/>
  <c r="P70" i="1"/>
  <c r="Q70" i="1"/>
  <c r="P67" i="1"/>
  <c r="Q67" i="1"/>
  <c r="P60" i="1"/>
  <c r="Q60" i="1"/>
  <c r="P99" i="1"/>
  <c r="Q99" i="1"/>
  <c r="P83" i="1"/>
  <c r="Q83" i="1"/>
  <c r="P76" i="1"/>
  <c r="Q76" i="1"/>
  <c r="P103" i="1"/>
  <c r="Q103" i="1"/>
  <c r="P97" i="1"/>
  <c r="Q97" i="1"/>
  <c r="P93" i="1"/>
  <c r="Q93" i="1"/>
  <c r="P59" i="1"/>
  <c r="Q59" i="1"/>
  <c r="P53" i="1"/>
  <c r="Q53" i="1"/>
  <c r="P58" i="1"/>
  <c r="Q58" i="1"/>
  <c r="P52" i="1"/>
  <c r="Q52" i="1"/>
  <c r="P56" i="1"/>
  <c r="Q56" i="1"/>
  <c r="P54" i="1"/>
  <c r="Q54" i="1"/>
  <c r="P57" i="1"/>
  <c r="Q57" i="1"/>
  <c r="P55" i="1"/>
  <c r="Q55" i="1"/>
  <c r="P51" i="1"/>
  <c r="Q51" i="1"/>
  <c r="P37" i="1"/>
  <c r="Q37" i="1"/>
  <c r="P50" i="1"/>
  <c r="Q50" i="1"/>
  <c r="P47" i="1"/>
  <c r="Q47" i="1"/>
  <c r="P45" i="1"/>
  <c r="Q45" i="1"/>
  <c r="P43" i="1"/>
  <c r="Q43" i="1"/>
  <c r="P42" i="1"/>
  <c r="Q42" i="1"/>
  <c r="P40" i="1"/>
  <c r="Q40" i="1"/>
  <c r="P49" i="1"/>
  <c r="Q49" i="1"/>
  <c r="P48" i="1"/>
  <c r="Q48" i="1"/>
  <c r="P46" i="1"/>
  <c r="Q46" i="1"/>
  <c r="P44" i="1"/>
  <c r="Q44" i="1"/>
  <c r="P41" i="1"/>
  <c r="Q41" i="1"/>
  <c r="P39" i="1"/>
  <c r="Q39" i="1"/>
  <c r="P38" i="1"/>
  <c r="Q38" i="1"/>
  <c r="P36" i="1"/>
  <c r="Q36" i="1"/>
  <c r="P35" i="1"/>
  <c r="Q35" i="1"/>
  <c r="P32" i="1"/>
  <c r="Q32" i="1"/>
  <c r="P30" i="1"/>
  <c r="Q30" i="1"/>
  <c r="P29" i="1"/>
  <c r="Q29" i="1"/>
  <c r="P28" i="1"/>
  <c r="Q28" i="1"/>
  <c r="P34" i="1"/>
  <c r="Q34" i="1"/>
  <c r="P33" i="1"/>
  <c r="Q33" i="1"/>
  <c r="P31" i="1"/>
  <c r="Q31" i="1"/>
  <c r="P27" i="1"/>
  <c r="Q27" i="1"/>
  <c r="P26" i="1"/>
  <c r="Q26" i="1"/>
  <c r="P25" i="1"/>
  <c r="Q25" i="1"/>
  <c r="P15" i="1"/>
  <c r="Q15" i="1"/>
  <c r="P22" i="1"/>
  <c r="Q22" i="1"/>
  <c r="P21" i="1"/>
  <c r="Q21" i="1"/>
  <c r="P20" i="1"/>
  <c r="Q20" i="1"/>
  <c r="P16" i="1"/>
  <c r="Q16" i="1"/>
  <c r="P14" i="1"/>
  <c r="Q14" i="1"/>
  <c r="P13" i="1"/>
  <c r="Q13" i="1"/>
  <c r="P23" i="1"/>
  <c r="Q23" i="1"/>
  <c r="P18" i="1"/>
  <c r="Q18" i="1"/>
  <c r="P24" i="1"/>
  <c r="Q24" i="1"/>
  <c r="P19" i="1"/>
  <c r="Q19" i="1"/>
  <c r="P17" i="1"/>
  <c r="Q17" i="1"/>
  <c r="P12" i="1"/>
  <c r="Q12" i="1"/>
  <c r="P11" i="1"/>
  <c r="Q11" i="1"/>
  <c r="P10" i="1"/>
  <c r="Q10" i="1"/>
  <c r="P9" i="1"/>
  <c r="Q9" i="1"/>
  <c r="P8" i="1"/>
  <c r="Q8" i="1"/>
  <c r="P7" i="1"/>
  <c r="Q7" i="1"/>
  <c r="P6" i="1"/>
  <c r="Q6" i="1"/>
  <c r="P5" i="1"/>
  <c r="Q5" i="1"/>
  <c r="P4" i="1"/>
  <c r="Q4" i="1"/>
  <c r="P3" i="1"/>
  <c r="Q3" i="1"/>
  <c r="P2" i="1"/>
  <c r="Q2" i="1"/>
</calcChain>
</file>

<file path=xl/sharedStrings.xml><?xml version="1.0" encoding="utf-8"?>
<sst xmlns="http://schemas.openxmlformats.org/spreadsheetml/2006/main" count="307" uniqueCount="140">
  <si>
    <t>Symbol </t>
  </si>
  <si>
    <t>S.US.NVDA</t>
  </si>
  <si>
    <t>S.US.AAPL</t>
  </si>
  <si>
    <t>S.US.MSFT</t>
  </si>
  <si>
    <t>S.US.AMZN</t>
  </si>
  <si>
    <t>S.US.GOOGL</t>
  </si>
  <si>
    <t>S.US.GOOG</t>
  </si>
  <si>
    <t>S.US.META</t>
  </si>
  <si>
    <t>S.US.AVGO</t>
  </si>
  <si>
    <t>S.US.TSLA</t>
  </si>
  <si>
    <t>S.US.WMT</t>
  </si>
  <si>
    <t>S.US.COST</t>
  </si>
  <si>
    <t>S.US.NFLX</t>
  </si>
  <si>
    <t>S.US.AMD</t>
  </si>
  <si>
    <t>S.US.PLTR</t>
  </si>
  <si>
    <t>S.US.CSCO</t>
  </si>
  <si>
    <t>S.US.LRCX</t>
  </si>
  <si>
    <t>S.US.AMAT</t>
  </si>
  <si>
    <t>S.US.INTC</t>
  </si>
  <si>
    <t>S.US.LIN</t>
  </si>
  <si>
    <t>S.US.KLAC</t>
  </si>
  <si>
    <t>S.US.TMUS</t>
  </si>
  <si>
    <t>S.US.PEP</t>
  </si>
  <si>
    <t>S.US.TXN</t>
  </si>
  <si>
    <t>S.US.AMGN</t>
  </si>
  <si>
    <t>S.US.GILD</t>
  </si>
  <si>
    <t>S.US.ADI</t>
  </si>
  <si>
    <t>S.US.ISRG</t>
  </si>
  <si>
    <t>S.US.ARM</t>
  </si>
  <si>
    <t>S.US.SHOP</t>
  </si>
  <si>
    <t>S.US.HON</t>
  </si>
  <si>
    <t>S.US.PDD</t>
  </si>
  <si>
    <t>S.US.BKNG</t>
  </si>
  <si>
    <t>S.US.PANW</t>
  </si>
  <si>
    <t>S.US.QCOM</t>
  </si>
  <si>
    <t>S.US.APP</t>
  </si>
  <si>
    <t>S.US.WDC</t>
  </si>
  <si>
    <t>S.US.STX</t>
  </si>
  <si>
    <t>S.US.VRTX</t>
  </si>
  <si>
    <t>S.US.SBUX</t>
  </si>
  <si>
    <t>S.US.CRWD</t>
  </si>
  <si>
    <t>S.US.INTU</t>
  </si>
  <si>
    <t>S.US.MRVL</t>
  </si>
  <si>
    <t>S.US.CEG</t>
  </si>
  <si>
    <t>S.US.CMCSA</t>
  </si>
  <si>
    <t>S.US.ADBE</t>
  </si>
  <si>
    <t>S.US.MAR</t>
  </si>
  <si>
    <t>S.US.MELI</t>
  </si>
  <si>
    <t>S.US.REGN</t>
  </si>
  <si>
    <t>S.US.ADP</t>
  </si>
  <si>
    <t>S.US.CDNS</t>
  </si>
  <si>
    <t>S.US.ADSK</t>
  </si>
  <si>
    <t>S.US.ASML</t>
  </si>
  <si>
    <t>S.US.CDW</t>
  </si>
  <si>
    <t>S.US.CTSH</t>
  </si>
  <si>
    <t>S.US.DDOG</t>
  </si>
  <si>
    <t>S.US.FTNT</t>
  </si>
  <si>
    <t>S.US.MCHP</t>
  </si>
  <si>
    <t>S.US.MPWR</t>
  </si>
  <si>
    <t>S.US.MSTR</t>
  </si>
  <si>
    <t>S.US.MU</t>
  </si>
  <si>
    <t>S.US.NXPI</t>
  </si>
  <si>
    <t>S.US.SNPS</t>
  </si>
  <si>
    <t>S.US.WDAY</t>
  </si>
  <si>
    <t>S.US.ZS</t>
  </si>
  <si>
    <t>S.US.CHTR</t>
  </si>
  <si>
    <t>S.US.EA</t>
  </si>
  <si>
    <t>S.US.WBD</t>
  </si>
  <si>
    <t>S.US.ABNB</t>
  </si>
  <si>
    <t>S.US.DASH</t>
  </si>
  <si>
    <t>S.US.DLTR</t>
  </si>
  <si>
    <t>S.US.DPZ</t>
  </si>
  <si>
    <t>S.US.EXPE</t>
  </si>
  <si>
    <t>S.US.LULU</t>
  </si>
  <si>
    <t>S.US.ORLY</t>
  </si>
  <si>
    <t>S.US.ROST</t>
  </si>
  <si>
    <t>S.US.ALGN</t>
  </si>
  <si>
    <t>S.US.ALNY</t>
  </si>
  <si>
    <t>S.US.BIIB</t>
  </si>
  <si>
    <t>S.US.COO</t>
  </si>
  <si>
    <t>S.US.DXCM</t>
  </si>
  <si>
    <t>S.US.GEHC</t>
  </si>
  <si>
    <t>S.US.IDXX</t>
  </si>
  <si>
    <t>S.US.CHRW</t>
  </si>
  <si>
    <t>S.US.CTAS</t>
  </si>
  <si>
    <t>S.US.CPRT</t>
  </si>
  <si>
    <t>S.US.CSX</t>
  </si>
  <si>
    <t>S.US.FAST</t>
  </si>
  <si>
    <t>S.US.PAYX</t>
  </si>
  <si>
    <t>S.US.PCAR</t>
  </si>
  <si>
    <t>S.US.VRSK</t>
  </si>
  <si>
    <t>S.US.BKR</t>
  </si>
  <si>
    <t>S.US.FANG</t>
  </si>
  <si>
    <t>S.US.CCEP</t>
  </si>
  <si>
    <t>S.US.KDP</t>
  </si>
  <si>
    <t>S.US.KHC</t>
  </si>
  <si>
    <t>S.US.MDLZ</t>
  </si>
  <si>
    <t>S.US.MNST</t>
  </si>
  <si>
    <t>S.US.AEP</t>
  </si>
  <si>
    <t>S.US.EXC</t>
  </si>
  <si>
    <t>S.US.XEL</t>
  </si>
  <si>
    <t>S.US.CSGP</t>
  </si>
  <si>
    <t>S.US.EQIX</t>
  </si>
  <si>
    <t>S.US.PYPL</t>
  </si>
  <si>
    <t>Description</t>
  </si>
  <si>
    <t>Sector</t>
  </si>
  <si>
    <t>GICS Sector</t>
  </si>
  <si>
    <t>Information Technology</t>
  </si>
  <si>
    <t>Consumer Discretionary</t>
  </si>
  <si>
    <t>Communication Services</t>
  </si>
  <si>
    <t>Consumer Staples</t>
  </si>
  <si>
    <t>Materials</t>
  </si>
  <si>
    <t>Health Care</t>
  </si>
  <si>
    <t>Industrials</t>
  </si>
  <si>
    <t>Utilities</t>
  </si>
  <si>
    <t>Energy</t>
  </si>
  <si>
    <t>Real Estate</t>
  </si>
  <si>
    <t>Financials</t>
  </si>
  <si>
    <t>%NC</t>
  </si>
  <si>
    <t>Rank</t>
  </si>
  <si>
    <t>Sector Count</t>
  </si>
  <si>
    <t>Symbol</t>
  </si>
  <si>
    <t>VIX</t>
  </si>
  <si>
    <t>Open</t>
  </si>
  <si>
    <t>High</t>
  </si>
  <si>
    <t>Low</t>
  </si>
  <si>
    <t>Last</t>
  </si>
  <si>
    <t>NDX</t>
  </si>
  <si>
    <t>S.XLC</t>
  </si>
  <si>
    <t>S.XLP</t>
  </si>
  <si>
    <t>S.XLE</t>
  </si>
  <si>
    <t>S.XLF</t>
  </si>
  <si>
    <t>S.XLV</t>
  </si>
  <si>
    <t>S.XLI</t>
  </si>
  <si>
    <t>S.XLK</t>
  </si>
  <si>
    <t>S.XLB</t>
  </si>
  <si>
    <t>S.XLRE</t>
  </si>
  <si>
    <t>S.XLU</t>
  </si>
  <si>
    <t>DJI</t>
  </si>
  <si>
    <t>SPC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</si>
</sst>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1"/>
      <color rgb="FF0A0A0A"/>
      <name val="Century Gothic"/>
      <family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vertical="top" wrapText="1"/>
    </xf>
    <xf numFmtId="10" fontId="0" fillId="0" borderId="0" xfId="0" applyNumberFormat="1"/>
    <xf numFmtId="0" fontId="0" fillId="3" borderId="0" xfId="0" applyFill="1"/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0F053CAA-C81C-49BC-9B7C-5ED41F7CF9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>Utilities Select Sector SPDR</v>
        <stp/>
        <stp>ContractData</stp>
        <stp>S.XLU</stp>
        <stp>LongDescription</stp>
        <stp/>
        <stp>T</stp>
        <tr r="C45" s="2"/>
      </tp>
      <tp t="s">
        <v>Health Care Select Sector SPDR</v>
        <stp/>
        <stp>ContractData</stp>
        <stp>S.XLV</stp>
        <stp>LongDescription</stp>
        <stp/>
        <stp>T</stp>
        <tr r="M41" s="2"/>
      </tp>
      <tp t="s">
        <v>Consumer Staples Select Sector SPDR</v>
        <stp/>
        <stp>ContractData</stp>
        <stp>S.XLP</stp>
        <stp>LongDescription</stp>
        <stp/>
        <stp>T</stp>
        <tr r="H37" s="2"/>
      </tp>
      <tp t="s">
        <v>Industrial Select Sector SPDR</v>
        <stp/>
        <stp>ContractData</stp>
        <stp>S.XLI</stp>
        <stp>LongDescription</stp>
        <stp/>
        <stp>T</stp>
        <tr r="R37" s="2"/>
      </tp>
      <tp t="s">
        <v>Technology Sector SPDR Fund</v>
        <stp/>
        <stp>ContractData</stp>
        <stp>S.XLK</stp>
        <stp>LongDescription</stp>
        <stp/>
        <stp>T</stp>
        <tr r="R41" s="2"/>
      </tp>
      <tp t="s">
        <v>Energy Select Sector SPDR</v>
        <stp/>
        <stp>ContractData</stp>
        <stp>S.XLE</stp>
        <stp>LongDescription</stp>
        <stp/>
        <stp>T</stp>
        <tr r="H41" s="2"/>
      </tp>
      <tp t="s">
        <v>Financial Select Sector SPDR</v>
        <stp/>
        <stp>ContractData</stp>
        <stp>S.XLF</stp>
        <stp>LongDescription</stp>
        <stp/>
        <stp>T</stp>
        <tr r="M37" s="2"/>
      </tp>
      <tp t="s">
        <v>Materials Select Sector SPDR</v>
        <stp/>
        <stp>ContractData</stp>
        <stp>S.XLB</stp>
        <stp>LongDescription</stp>
        <stp/>
        <stp>T</stp>
        <tr r="W37" s="2"/>
      </tp>
      <tp t="s">
        <v>Communication Services Select Sector SPDR</v>
        <stp/>
        <stp>ContractData</stp>
        <stp>S.XLC</stp>
        <stp>LongDescription</stp>
        <stp/>
        <stp>T</stp>
        <tr r="C41" s="2"/>
      </tp>
      <tp t="s">
        <v>VIX Volatility Index (S&amp;P 500)</v>
        <stp/>
        <stp>ContractData</stp>
        <stp>VIX</stp>
        <stp>LongDescription</stp>
        <stp/>
        <stp>T</stp>
        <tr r="W45" s="2"/>
      </tp>
      <tp t="s">
        <v>S&amp;P 500</v>
        <stp/>
        <stp>ContractData</stp>
        <stp>SPC</stp>
        <stp>LongDescription</stp>
        <stp/>
        <stp>T</stp>
        <tr r="R45" s="2"/>
        <tr r="M45" s="2"/>
      </tp>
      <tp t="s">
        <v>NASDAQ-100 Index</v>
        <stp/>
        <stp>ContractData</stp>
        <stp>NDX</stp>
        <stp>LongDescription</stp>
        <stp/>
        <stp>T</stp>
        <tr r="C37" s="2"/>
      </tp>
      <tp t="s">
        <v>DJ Industrial Average</v>
        <stp/>
        <stp>ContractData</stp>
        <stp>DJI</stp>
        <stp>LongDescription</stp>
        <stp/>
        <stp>T</stp>
        <tr r="H45" s="2"/>
      </tp>
      <tp t="s">
        <v>ALPHABET CL A CMN</v>
        <stp/>
        <stp>ContractData</stp>
        <stp>S.US.GOOGL</stp>
        <stp>LongDescription</stp>
        <stp/>
        <stp>T</stp>
        <tr r="B6" s="1"/>
      </tp>
      <tp t="s">
        <v>COMCAST CORP A</v>
        <stp/>
        <stp>ContractData</stp>
        <stp>S.US.CMCSA</stp>
        <stp>LongDescription</stp>
        <stp/>
        <stp>T</stp>
        <tr r="B45" s="1"/>
      </tp>
      <tp t="s">
        <v/>
        <stp/>
        <stp>ContractData</stp>
        <stp>S.US.XEL</stp>
        <stp>PerCentNetLastTrade</stp>
        <stp/>
        <stp>T</stp>
        <tr r="D101" s="1"/>
      </tp>
      <tp t="s">
        <v/>
        <stp/>
        <stp>ContractData</stp>
        <stp>S.US.TXN</stp>
        <stp>PerCentNetLastTrade</stp>
        <stp/>
        <stp>T</stp>
        <tr r="D24" s="1"/>
      </tp>
      <tp t="s">
        <v/>
        <stp/>
        <stp>ContractData</stp>
        <stp>S.US.WBD</stp>
        <stp>PerCentNetLastTrade</stp>
        <stp/>
        <stp>T</stp>
        <tr r="D68" s="1"/>
      </tp>
      <tp t="s">
        <v/>
        <stp/>
        <stp>ContractData</stp>
        <stp>S.US.WDC</stp>
        <stp>PerCentNetLastTrade</stp>
        <stp/>
        <stp>T</stp>
        <tr r="D37" s="1"/>
      </tp>
      <tp t="s">
        <v/>
        <stp/>
        <stp>ContractData</stp>
        <stp>S.US.WMT</stp>
        <stp>PerCentNetLastTrade</stp>
        <stp/>
        <stp>T</stp>
        <tr r="D11" s="1"/>
      </tp>
      <tp t="s">
        <v/>
        <stp/>
        <stp>ContractData</stp>
        <stp>S.US.PDD</stp>
        <stp>PerCentNetLastTrade</stp>
        <stp/>
        <stp>T</stp>
        <tr r="D32" s="1"/>
      </tp>
      <tp t="s">
        <v/>
        <stp/>
        <stp>ContractData</stp>
        <stp>S.US.PEP</stp>
        <stp>PerCentNetLastTrade</stp>
        <stp/>
        <stp>T</stp>
        <tr r="D23" s="1"/>
      </tp>
      <tp t="s">
        <v/>
        <stp/>
        <stp>ContractData</stp>
        <stp>S.US.STX</stp>
        <stp>PerCentNetLastTrade</stp>
        <stp/>
        <stp>T</stp>
        <tr r="D38" s="1"/>
      </tp>
      <tp t="s">
        <v/>
        <stp/>
        <stp>ContractData</stp>
        <stp>S.US.MAR</stp>
        <stp>PerCentNetLastTrade</stp>
        <stp/>
        <stp>T</stp>
        <tr r="D47" s="1"/>
      </tp>
      <tp t="s">
        <v/>
        <stp/>
        <stp>ContractData</stp>
        <stp>S.US.LIN</stp>
        <stp>PerCentNetLastTrade</stp>
        <stp/>
        <stp>T</stp>
        <tr r="D20" s="1"/>
      </tp>
      <tp t="s">
        <v/>
        <stp/>
        <stp>ContractData</stp>
        <stp>S.US.HON</stp>
        <stp>PerCentNetLastTrade</stp>
        <stp/>
        <stp>T</stp>
        <tr r="D31" s="1"/>
      </tp>
      <tp t="s">
        <v/>
        <stp/>
        <stp>ContractData</stp>
        <stp>S.US.KDP</stp>
        <stp>PerCentNetLastTrade</stp>
        <stp/>
        <stp>T</stp>
        <tr r="D95" s="1"/>
      </tp>
      <tp t="s">
        <v/>
        <stp/>
        <stp>ContractData</stp>
        <stp>S.US.KHC</stp>
        <stp>PerCentNetLastTrade</stp>
        <stp/>
        <stp>T</stp>
        <tr r="D96" s="1"/>
      </tp>
      <tp t="s">
        <v/>
        <stp/>
        <stp>ContractData</stp>
        <stp>S.US.EXC</stp>
        <stp>PerCentNetLastTrade</stp>
        <stp/>
        <stp>T</stp>
        <tr r="D100" s="1"/>
      </tp>
      <tp t="s">
        <v/>
        <stp/>
        <stp>ContractData</stp>
        <stp>S.US.DPZ</stp>
        <stp>PerCentNetLastTrade</stp>
        <stp/>
        <stp>T</stp>
        <tr r="D72" s="1"/>
      </tp>
      <tp t="s">
        <v/>
        <stp/>
        <stp>ContractData</stp>
        <stp>S.US.ARM</stp>
        <stp>PerCentNetLastTrade</stp>
        <stp/>
        <stp>T</stp>
        <tr r="D29" s="1"/>
      </tp>
      <tp t="s">
        <v/>
        <stp/>
        <stp>ContractData</stp>
        <stp>S.US.APP</stp>
        <stp>PerCentNetLastTrade</stp>
        <stp/>
        <stp>T</stp>
        <tr r="D36" s="1"/>
      </tp>
      <tp t="s">
        <v/>
        <stp/>
        <stp>ContractData</stp>
        <stp>S.US.ADP</stp>
        <stp>PerCentNetLastTrade</stp>
        <stp/>
        <stp>T</stp>
        <tr r="D50" s="1"/>
      </tp>
      <tp t="s">
        <v/>
        <stp/>
        <stp>ContractData</stp>
        <stp>S.US.ADI</stp>
        <stp>PerCentNetLastTrade</stp>
        <stp/>
        <stp>T</stp>
        <tr r="D27" s="1"/>
      </tp>
      <tp t="s">
        <v/>
        <stp/>
        <stp>ContractData</stp>
        <stp>S.US.AEP</stp>
        <stp>PerCentNetLastTrade</stp>
        <stp/>
        <stp>T</stp>
        <tr r="D99" s="1"/>
      </tp>
      <tp t="s">
        <v/>
        <stp/>
        <stp>ContractData</stp>
        <stp>S.US.AMD</stp>
        <stp>PerCentNetLastTrade</stp>
        <stp/>
        <stp>T</stp>
        <tr r="D14" s="1"/>
      </tp>
      <tp t="s">
        <v/>
        <stp/>
        <stp>ContractData</stp>
        <stp>S.US.CSX</stp>
        <stp>PerCentNetLastTrade</stp>
        <stp/>
        <stp>T</stp>
        <tr r="D87" s="1"/>
      </tp>
      <tp t="s">
        <v/>
        <stp/>
        <stp>ContractData</stp>
        <stp>S.US.CDW</stp>
        <stp>PerCentNetLastTrade</stp>
        <stp/>
        <stp>T</stp>
        <tr r="D54" s="1"/>
      </tp>
      <tp t="s">
        <v/>
        <stp/>
        <stp>ContractData</stp>
        <stp>S.US.CEG</stp>
        <stp>PerCentNetLastTrade</stp>
        <stp/>
        <stp>T</stp>
        <tr r="D44" s="1"/>
      </tp>
      <tp t="s">
        <v/>
        <stp/>
        <stp>ContractData</stp>
        <stp>S.US.COO</stp>
        <stp>PerCentNetLastTrade</stp>
        <stp/>
        <stp>T</stp>
        <tr r="D80" s="1"/>
      </tp>
      <tp t="s">
        <v/>
        <stp/>
        <stp>ContractData</stp>
        <stp>S.US.BKR</stp>
        <stp>PerCentNetLastTrade</stp>
        <stp/>
        <stp>T</stp>
        <tr r="D92" s="1"/>
      </tp>
      <tp t="s">
        <v/>
        <stp/>
        <stp>ContractData</stp>
        <stp>S.US.SHOP</stp>
        <stp>PerCentNetLastTrade</stp>
        <stp/>
        <stp>T</stp>
        <tr r="D30" s="1"/>
      </tp>
      <tp t="s">
        <v/>
        <stp/>
        <stp>ContractData</stp>
        <stp>S.US.SNPS</stp>
        <stp>PerCentNetLastTrade</stp>
        <stp/>
        <stp>T</stp>
        <tr r="D63" s="1"/>
      </tp>
      <tp t="s">
        <v/>
        <stp/>
        <stp>ContractData</stp>
        <stp>S.US.SBUX</stp>
        <stp>PerCentNetLastTrade</stp>
        <stp/>
        <stp>T</stp>
        <tr r="D40" s="1"/>
      </tp>
      <tp t="s">
        <v/>
        <stp/>
        <stp>ContractData</stp>
        <stp>S.US.ROST</stp>
        <stp>PerCentNetLastTrade</stp>
        <stp/>
        <stp>T</stp>
        <tr r="D76" s="1"/>
      </tp>
      <tp t="s">
        <v/>
        <stp/>
        <stp>ContractData</stp>
        <stp>S.US.REGN</stp>
        <stp>PerCentNetLastTrade</stp>
        <stp/>
        <stp>T</stp>
        <tr r="D49" s="1"/>
      </tp>
      <tp t="s">
        <v/>
        <stp/>
        <stp>ContractData</stp>
        <stp>S.US.QCOM</stp>
        <stp>PerCentNetLastTrade</stp>
        <stp/>
        <stp>T</stp>
        <tr r="D35" s="1"/>
      </tp>
      <tp t="s">
        <v/>
        <stp/>
        <stp>ContractData</stp>
        <stp>S.US.PLTR</stp>
        <stp>PerCentNetLastTrade</stp>
        <stp/>
        <stp>T</stp>
        <tr r="D15" s="1"/>
      </tp>
      <tp t="s">
        <v/>
        <stp/>
        <stp>ContractData</stp>
        <stp>S.US.PCAR</stp>
        <stp>PerCentNetLastTrade</stp>
        <stp/>
        <stp>T</stp>
        <tr r="D90" s="1"/>
      </tp>
      <tp t="s">
        <v/>
        <stp/>
        <stp>ContractData</stp>
        <stp>S.US.PAYX</stp>
        <stp>PerCentNetLastTrade</stp>
        <stp/>
        <stp>T</stp>
        <tr r="D89" s="1"/>
      </tp>
      <tp t="s">
        <v/>
        <stp/>
        <stp>ContractData</stp>
        <stp>S.US.PANW</stp>
        <stp>PerCentNetLastTrade</stp>
        <stp/>
        <stp>T</stp>
        <tr r="D34" s="1"/>
      </tp>
      <tp t="s">
        <v/>
        <stp/>
        <stp>ContractData</stp>
        <stp>S.US.PYPL</stp>
        <stp>PerCentNetLastTrade</stp>
        <stp/>
        <stp>T</stp>
        <tr r="D104" s="1"/>
      </tp>
      <tp t="s">
        <v/>
        <stp/>
        <stp>ContractData</stp>
        <stp>S.US.WDAY</stp>
        <stp>PerCentNetLastTrade</stp>
        <stp/>
        <stp>T</stp>
        <tr r="D64" s="1"/>
      </tp>
      <tp t="s">
        <v/>
        <stp/>
        <stp>ContractData</stp>
        <stp>S.US.VRSK</stp>
        <stp>PerCentNetLastTrade</stp>
        <stp/>
        <stp>T</stp>
        <tr r="D91" s="1"/>
      </tp>
      <tp t="s">
        <v/>
        <stp/>
        <stp>ContractData</stp>
        <stp>S.US.VRTX</stp>
        <stp>PerCentNetLastTrade</stp>
        <stp/>
        <stp>T</stp>
        <tr r="D39" s="1"/>
      </tp>
      <tp t="s">
        <v/>
        <stp/>
        <stp>ContractData</stp>
        <stp>S.US.TMUS</stp>
        <stp>PerCentNetLastTrade</stp>
        <stp/>
        <stp>T</stp>
        <tr r="D22" s="1"/>
      </tp>
      <tp t="s">
        <v/>
        <stp/>
        <stp>ContractData</stp>
        <stp>S.US.TSLA</stp>
        <stp>PerCentNetLastTrade</stp>
        <stp/>
        <stp>T</stp>
        <tr r="D10" s="1"/>
      </tp>
      <tp t="s">
        <v/>
        <stp/>
        <stp>ContractData</stp>
        <stp>S.XLRE</stp>
        <stp>Low</stp>
        <stp/>
        <stp>T</stp>
        <tr r="X43" s="2"/>
      </tp>
      <tp t="s">
        <v/>
        <stp/>
        <stp>ContractData</stp>
        <stp>S.US.EA</stp>
        <stp>PerCentNetLastTrade</stp>
        <stp/>
        <stp>T</stp>
        <tr r="D67" s="1"/>
      </tp>
      <tp t="s">
        <v/>
        <stp/>
        <stp>ContractData</stp>
        <stp>S.US.MU</stp>
        <stp>PerCentNetLastTrade</stp>
        <stp/>
        <stp>T</stp>
        <tr r="D61" s="1"/>
      </tp>
      <tp t="s">
        <v/>
        <stp/>
        <stp>ContractData</stp>
        <stp>S.US.ZS</stp>
        <stp>PerCentNetLastTrade</stp>
        <stp/>
        <stp>T</stp>
        <tr r="D65" s="1"/>
      </tp>
      <tp t="s">
        <v/>
        <stp/>
        <stp>ContractData</stp>
        <stp>S.US.CHRW</stp>
        <stp>PerCentNetLastTrade</stp>
        <stp/>
        <stp>T</stp>
        <tr r="D84" s="1"/>
      </tp>
      <tp t="s">
        <v/>
        <stp/>
        <stp>ContractData</stp>
        <stp>S.US.CHTR</stp>
        <stp>PerCentNetLastTrade</stp>
        <stp/>
        <stp>T</stp>
        <tr r="D66" s="1"/>
      </tp>
      <tp t="s">
        <v/>
        <stp/>
        <stp>ContractData</stp>
        <stp>S.US.COST</stp>
        <stp>PerCentNetLastTrade</stp>
        <stp/>
        <stp>T</stp>
        <tr r="D12" s="1"/>
      </tp>
      <tp t="s">
        <v/>
        <stp/>
        <stp>ContractData</stp>
        <stp>S.US.CCEP</stp>
        <stp>PerCentNetLastTrade</stp>
        <stp/>
        <stp>T</stp>
        <tr r="D94" s="1"/>
      </tp>
      <tp t="s">
        <v/>
        <stp/>
        <stp>ContractData</stp>
        <stp>S.US.CDNS</stp>
        <stp>PerCentNetLastTrade</stp>
        <stp/>
        <stp>T</stp>
        <tr r="D51" s="1"/>
      </tp>
      <tp t="s">
        <v/>
        <stp/>
        <stp>ContractData</stp>
        <stp>S.US.CRWD</stp>
        <stp>PerCentNetLastTrade</stp>
        <stp/>
        <stp>T</stp>
        <tr r="D41" s="1"/>
      </tp>
      <tp t="s">
        <v/>
        <stp/>
        <stp>ContractData</stp>
        <stp>S.US.CSCO</stp>
        <stp>PerCentNetLastTrade</stp>
        <stp/>
        <stp>T</stp>
        <tr r="D16" s="1"/>
      </tp>
      <tp t="s">
        <v/>
        <stp/>
        <stp>ContractData</stp>
        <stp>S.US.CSGP</stp>
        <stp>PerCentNetLastTrade</stp>
        <stp/>
        <stp>T</stp>
        <tr r="D102" s="1"/>
      </tp>
      <tp t="s">
        <v/>
        <stp/>
        <stp>ContractData</stp>
        <stp>S.US.CPRT</stp>
        <stp>PerCentNetLastTrade</stp>
        <stp/>
        <stp>T</stp>
        <tr r="D86" s="1"/>
      </tp>
      <tp t="s">
        <v/>
        <stp/>
        <stp>ContractData</stp>
        <stp>S.US.CTSH</stp>
        <stp>PerCentNetLastTrade</stp>
        <stp/>
        <stp>T</stp>
        <tr r="D55" s="1"/>
      </tp>
      <tp t="s">
        <v/>
        <stp/>
        <stp>ContractData</stp>
        <stp>S.US.CTAS</stp>
        <stp>PerCentNetLastTrade</stp>
        <stp/>
        <stp>T</stp>
        <tr r="D85" s="1"/>
      </tp>
      <tp t="s">
        <v/>
        <stp/>
        <stp>ContractData</stp>
        <stp>S.US.BKNG</stp>
        <stp>PerCentNetLastTrade</stp>
        <stp/>
        <stp>T</stp>
        <tr r="D33" s="1"/>
      </tp>
      <tp t="s">
        <v/>
        <stp/>
        <stp>ContractData</stp>
        <stp>S.US.BIIB</stp>
        <stp>PerCentNetLastTrade</stp>
        <stp/>
        <stp>T</stp>
        <tr r="D79" s="1"/>
      </tp>
      <tp t="s">
        <v/>
        <stp/>
        <stp>ContractData</stp>
        <stp>S.US.ALGN</stp>
        <stp>PerCentNetLastTrade</stp>
        <stp/>
        <stp>T</stp>
        <tr r="D77" s="1"/>
      </tp>
      <tp t="s">
        <v/>
        <stp/>
        <stp>ContractData</stp>
        <stp>S.US.ALNY</stp>
        <stp>PerCentNetLastTrade</stp>
        <stp/>
        <stp>T</stp>
        <tr r="D78" s="1"/>
      </tp>
      <tp t="s">
        <v/>
        <stp/>
        <stp>ContractData</stp>
        <stp>S.US.AMZN</stp>
        <stp>PerCentNetLastTrade</stp>
        <stp/>
        <stp>T</stp>
        <tr r="D5" s="1"/>
      </tp>
      <tp t="s">
        <v/>
        <stp/>
        <stp>ContractData</stp>
        <stp>S.US.AMAT</stp>
        <stp>PerCentNetLastTrade</stp>
        <stp/>
        <stp>T</stp>
        <tr r="D18" s="1"/>
      </tp>
      <tp t="s">
        <v/>
        <stp/>
        <stp>ContractData</stp>
        <stp>S.US.AMGN</stp>
        <stp>PerCentNetLastTrade</stp>
        <stp/>
        <stp>T</stp>
        <tr r="D25" s="1"/>
      </tp>
      <tp t="s">
        <v/>
        <stp/>
        <stp>ContractData</stp>
        <stp>S.US.ABNB</stp>
        <stp>PerCentNetLastTrade</stp>
        <stp/>
        <stp>T</stp>
        <tr r="D69" s="1"/>
      </tp>
      <tp t="s">
        <v/>
        <stp/>
        <stp>ContractData</stp>
        <stp>S.US.AAPL</stp>
        <stp>PerCentNetLastTrade</stp>
        <stp/>
        <stp>T</stp>
        <tr r="D3" s="1"/>
      </tp>
      <tp t="s">
        <v/>
        <stp/>
        <stp>ContractData</stp>
        <stp>S.US.ADSK</stp>
        <stp>PerCentNetLastTrade</stp>
        <stp/>
        <stp>T</stp>
        <tr r="D52" s="1"/>
      </tp>
      <tp t="s">
        <v/>
        <stp/>
        <stp>ContractData</stp>
        <stp>S.US.ADBE</stp>
        <stp>PerCentNetLastTrade</stp>
        <stp/>
        <stp>T</stp>
        <tr r="D46" s="1"/>
      </tp>
      <tp t="s">
        <v/>
        <stp/>
        <stp>ContractData</stp>
        <stp>S.US.ASML</stp>
        <stp>PerCentNetLastTrade</stp>
        <stp/>
        <stp>T</stp>
        <tr r="D53" s="1"/>
      </tp>
      <tp t="s">
        <v/>
        <stp/>
        <stp>ContractData</stp>
        <stp>S.US.AVGO</stp>
        <stp>PerCentNetLastTrade</stp>
        <stp/>
        <stp>T</stp>
        <tr r="D9" s="1"/>
      </tp>
      <tp t="s">
        <v/>
        <stp/>
        <stp>ContractData</stp>
        <stp>S.US.GILD</stp>
        <stp>PerCentNetLastTrade</stp>
        <stp/>
        <stp>T</stp>
        <tr r="D26" s="1"/>
      </tp>
      <tp t="s">
        <v/>
        <stp/>
        <stp>ContractData</stp>
        <stp>S.US.GOOG</stp>
        <stp>PerCentNetLastTrade</stp>
        <stp/>
        <stp>T</stp>
        <tr r="D7" s="1"/>
      </tp>
      <tp t="s">
        <v/>
        <stp/>
        <stp>ContractData</stp>
        <stp>S.US.GEHC</stp>
        <stp>PerCentNetLastTrade</stp>
        <stp/>
        <stp>T</stp>
        <tr r="D82" s="1"/>
      </tp>
      <tp t="s">
        <v/>
        <stp/>
        <stp>ContractData</stp>
        <stp>S.US.FAST</stp>
        <stp>PerCentNetLastTrade</stp>
        <stp/>
        <stp>T</stp>
        <tr r="D88" s="1"/>
      </tp>
      <tp t="s">
        <v/>
        <stp/>
        <stp>ContractData</stp>
        <stp>S.US.FANG</stp>
        <stp>PerCentNetLastTrade</stp>
        <stp/>
        <stp>T</stp>
        <tr r="D93" s="1"/>
      </tp>
      <tp t="s">
        <v/>
        <stp/>
        <stp>ContractData</stp>
        <stp>S.US.FTNT</stp>
        <stp>PerCentNetLastTrade</stp>
        <stp/>
        <stp>T</stp>
        <tr r="D57" s="1"/>
      </tp>
      <tp t="s">
        <v/>
        <stp/>
        <stp>ContractData</stp>
        <stp>S.US.EXPE</stp>
        <stp>PerCentNetLastTrade</stp>
        <stp/>
        <stp>T</stp>
        <tr r="D73" s="1"/>
      </tp>
      <tp t="s">
        <v/>
        <stp/>
        <stp>ContractData</stp>
        <stp>S.US.EQIX</stp>
        <stp>PerCentNetLastTrade</stp>
        <stp/>
        <stp>T</stp>
        <tr r="D103" s="1"/>
      </tp>
      <tp t="s">
        <v/>
        <stp/>
        <stp>ContractData</stp>
        <stp>S.US.DLTR</stp>
        <stp>PerCentNetLastTrade</stp>
        <stp/>
        <stp>T</stp>
        <tr r="D71" s="1"/>
      </tp>
      <tp t="s">
        <v/>
        <stp/>
        <stp>ContractData</stp>
        <stp>S.US.DASH</stp>
        <stp>PerCentNetLastTrade</stp>
        <stp/>
        <stp>T</stp>
        <tr r="D70" s="1"/>
      </tp>
      <tp t="s">
        <v/>
        <stp/>
        <stp>ContractData</stp>
        <stp>S.US.DDOG</stp>
        <stp>PerCentNetLastTrade</stp>
        <stp/>
        <stp>T</stp>
        <tr r="D56" s="1"/>
      </tp>
      <tp t="s">
        <v/>
        <stp/>
        <stp>ContractData</stp>
        <stp>S.US.DXCM</stp>
        <stp>PerCentNetLastTrade</stp>
        <stp/>
        <stp>T</stp>
        <tr r="D81" s="1"/>
      </tp>
      <tp t="s">
        <v/>
        <stp/>
        <stp>ContractData</stp>
        <stp>S.US.KLAC</stp>
        <stp>PerCentNetLastTrade</stp>
        <stp/>
        <stp>T</stp>
        <tr r="D21" s="1"/>
      </tp>
      <tp t="s">
        <v/>
        <stp/>
        <stp>ContractData</stp>
        <stp>S.US.INTC</stp>
        <stp>PerCentNetLastTrade</stp>
        <stp/>
        <stp>T</stp>
        <tr r="D19" s="1"/>
      </tp>
      <tp t="s">
        <v/>
        <stp/>
        <stp>ContractData</stp>
        <stp>S.US.INTU</stp>
        <stp>PerCentNetLastTrade</stp>
        <stp/>
        <stp>T</stp>
        <tr r="D42" s="1"/>
      </tp>
      <tp t="s">
        <v/>
        <stp/>
        <stp>ContractData</stp>
        <stp>S.US.IDXX</stp>
        <stp>PerCentNetLastTrade</stp>
        <stp/>
        <stp>T</stp>
        <tr r="D83" s="1"/>
      </tp>
      <tp t="s">
        <v/>
        <stp/>
        <stp>ContractData</stp>
        <stp>S.US.ISRG</stp>
        <stp>PerCentNetLastTrade</stp>
        <stp/>
        <stp>T</stp>
        <tr r="D28" s="1"/>
      </tp>
      <tp t="s">
        <v/>
        <stp/>
        <stp>ContractData</stp>
        <stp>S.US.ORLY</stp>
        <stp>PerCentNetLastTrade</stp>
        <stp/>
        <stp>T</stp>
        <tr r="D75" s="1"/>
      </tp>
      <tp t="s">
        <v/>
        <stp/>
        <stp>ContractData</stp>
        <stp>S.US.NFLX</stp>
        <stp>PerCentNetLastTrade</stp>
        <stp/>
        <stp>T</stp>
        <tr r="D13" s="1"/>
      </tp>
      <tp t="s">
        <v/>
        <stp/>
        <stp>ContractData</stp>
        <stp>S.US.NXPI</stp>
        <stp>PerCentNetLastTrade</stp>
        <stp/>
        <stp>T</stp>
        <tr r="D62" s="1"/>
      </tp>
      <tp t="s">
        <v/>
        <stp/>
        <stp>ContractData</stp>
        <stp>S.US.NVDA</stp>
        <stp>PerCentNetLastTrade</stp>
        <stp/>
        <stp>T</stp>
        <tr r="D2" s="1"/>
      </tp>
      <tp t="s">
        <v/>
        <stp/>
        <stp>ContractData</stp>
        <stp>S.US.MNST</stp>
        <stp>PerCentNetLastTrade</stp>
        <stp/>
        <stp>T</stp>
        <tr r="D98" s="1"/>
      </tp>
      <tp t="s">
        <v/>
        <stp/>
        <stp>ContractData</stp>
        <stp>S.US.MCHP</stp>
        <stp>PerCentNetLastTrade</stp>
        <stp/>
        <stp>T</stp>
        <tr r="D58" s="1"/>
      </tp>
      <tp t="s">
        <v/>
        <stp/>
        <stp>ContractData</stp>
        <stp>S.US.MDLZ</stp>
        <stp>PerCentNetLastTrade</stp>
        <stp/>
        <stp>T</stp>
        <tr r="D97" s="1"/>
      </tp>
      <tp t="s">
        <v/>
        <stp/>
        <stp>ContractData</stp>
        <stp>S.US.META</stp>
        <stp>PerCentNetLastTrade</stp>
        <stp/>
        <stp>T</stp>
        <tr r="D8" s="1"/>
      </tp>
      <tp t="s">
        <v/>
        <stp/>
        <stp>ContractData</stp>
        <stp>S.US.MELI</stp>
        <stp>PerCentNetLastTrade</stp>
        <stp/>
        <stp>T</stp>
        <tr r="D48" s="1"/>
      </tp>
      <tp t="s">
        <v/>
        <stp/>
        <stp>ContractData</stp>
        <stp>S.US.MRVL</stp>
        <stp>PerCentNetLastTrade</stp>
        <stp/>
        <stp>T</stp>
        <tr r="D43" s="1"/>
      </tp>
      <tp t="s">
        <v/>
        <stp/>
        <stp>ContractData</stp>
        <stp>S.US.MSTR</stp>
        <stp>PerCentNetLastTrade</stp>
        <stp/>
        <stp>T</stp>
        <tr r="D60" s="1"/>
      </tp>
      <tp t="s">
        <v/>
        <stp/>
        <stp>ContractData</stp>
        <stp>S.US.MSFT</stp>
        <stp>PerCentNetLastTrade</stp>
        <stp/>
        <stp>T</stp>
        <tr r="D4" s="1"/>
      </tp>
      <tp t="s">
        <v/>
        <stp/>
        <stp>ContractData</stp>
        <stp>S.US.MPWR</stp>
        <stp>PerCentNetLastTrade</stp>
        <stp/>
        <stp>T</stp>
        <tr r="D59" s="1"/>
      </tp>
      <tp t="s">
        <v/>
        <stp/>
        <stp>ContractData</stp>
        <stp>S.US.LRCX</stp>
        <stp>PerCentNetLastTrade</stp>
        <stp/>
        <stp>T</stp>
        <tr r="D17" s="1"/>
      </tp>
      <tp t="s">
        <v/>
        <stp/>
        <stp>ContractData</stp>
        <stp>S.US.LULU</stp>
        <stp>PerCentNetLastTrade</stp>
        <stp/>
        <stp>T</stp>
        <tr r="D74" s="1"/>
      </tp>
      <tp t="s">
        <v>ASML HLDG NY REG</v>
        <stp/>
        <stp>ContractData</stp>
        <stp>S.US.ASML</stp>
        <stp>LongDescription</stp>
        <stp/>
        <stp>T</stp>
        <tr r="B53" s="1"/>
      </tp>
      <tp t="s">
        <v>Broadcom Inc.</v>
        <stp/>
        <stp>ContractData</stp>
        <stp>S.US.AVGO</stp>
        <stp>LongDescription</stp>
        <stp/>
        <stp>T</stp>
        <tr r="B9" s="1"/>
      </tp>
      <tp t="s">
        <v>Amazon.com Inc</v>
        <stp/>
        <stp>ContractData</stp>
        <stp>S.US.AMZN</stp>
        <stp>LongDescription</stp>
        <stp/>
        <stp>T</stp>
        <tr r="B5" s="1"/>
      </tp>
      <tp t="s">
        <v>APPLIED MATERIALS</v>
        <stp/>
        <stp>ContractData</stp>
        <stp>S.US.AMAT</stp>
        <stp>LongDescription</stp>
        <stp/>
        <stp>T</stp>
        <tr r="B18" s="1"/>
      </tp>
      <tp t="s">
        <v>AMGEN</v>
        <stp/>
        <stp>ContractData</stp>
        <stp>S.US.AMGN</stp>
        <stp>LongDescription</stp>
        <stp/>
        <stp>T</stp>
        <tr r="B25" s="1"/>
      </tp>
      <tp t="s">
        <v>Align Technology Inc</v>
        <stp/>
        <stp>ContractData</stp>
        <stp>S.US.ALGN</stp>
        <stp>LongDescription</stp>
        <stp/>
        <stp>T</stp>
        <tr r="B77" s="1"/>
      </tp>
      <tp t="s">
        <v>ALNYLAM PHARMACEUT</v>
        <stp/>
        <stp>ContractData</stp>
        <stp>S.US.ALNY</stp>
        <stp>LongDescription</stp>
        <stp/>
        <stp>T</stp>
        <tr r="B78" s="1"/>
      </tp>
      <tp t="s">
        <v>Airbnb, Inc. Class A</v>
        <stp/>
        <stp>ContractData</stp>
        <stp>S.US.ABNB</stp>
        <stp>LongDescription</stp>
        <stp/>
        <stp>T</stp>
        <tr r="B69" s="1"/>
      </tp>
      <tp t="s">
        <v>APPLE INC.</v>
        <stp/>
        <stp>ContractData</stp>
        <stp>S.US.AAPL</stp>
        <stp>LongDescription</stp>
        <stp/>
        <stp>T</stp>
        <tr r="B3" s="1"/>
      </tp>
      <tp t="s">
        <v>Autodesk Inc</v>
        <stp/>
        <stp>ContractData</stp>
        <stp>S.US.ADSK</stp>
        <stp>LongDescription</stp>
        <stp/>
        <stp>T</stp>
        <tr r="B52" s="1"/>
      </tp>
      <tp t="s">
        <v>Adobe Inc.</v>
        <stp/>
        <stp>ContractData</stp>
        <stp>S.US.ADBE</stp>
        <stp>LongDescription</stp>
        <stp/>
        <stp>T</stp>
        <tr r="B46" s="1"/>
      </tp>
      <tp t="s">
        <v>CISCO SYSTEMS INC.</v>
        <stp/>
        <stp>ContractData</stp>
        <stp>S.US.CSCO</stp>
        <stp>LongDescription</stp>
        <stp/>
        <stp>T</stp>
        <tr r="B16" s="1"/>
      </tp>
      <tp t="s">
        <v>COSTAR GROUP INC ##</v>
        <stp/>
        <stp>ContractData</stp>
        <stp>S.US.CSGP</stp>
        <stp>LongDescription</stp>
        <stp/>
        <stp>T</stp>
        <tr r="B102" s="1"/>
      </tp>
      <tp t="s">
        <v>CROWDSTRIKE HLD CM A</v>
        <stp/>
        <stp>ContractData</stp>
        <stp>S.US.CRWD</stp>
        <stp>LongDescription</stp>
        <stp/>
        <stp>T</stp>
        <tr r="B41" s="1"/>
      </tp>
      <tp t="s">
        <v>COPART, INC.</v>
        <stp/>
        <stp>ContractData</stp>
        <stp>S.US.CPRT</stp>
        <stp>LongDescription</stp>
        <stp/>
        <stp>T</stp>
        <tr r="B86" s="1"/>
      </tp>
      <tp t="s">
        <v>COGNIZANT TECH SOL</v>
        <stp/>
        <stp>ContractData</stp>
        <stp>S.US.CTSH</stp>
        <stp>LongDescription</stp>
        <stp/>
        <stp>T</stp>
        <tr r="B55" s="1"/>
      </tp>
      <tp t="s">
        <v>Cintas Corp</v>
        <stp/>
        <stp>ContractData</stp>
        <stp>S.US.CTAS</stp>
        <stp>LongDescription</stp>
        <stp/>
        <stp>T</stp>
        <tr r="B85" s="1"/>
      </tp>
      <tp t="s">
        <v>C.H. ROBINSON WW</v>
        <stp/>
        <stp>ContractData</stp>
        <stp>S.US.CHRW</stp>
        <stp>LongDescription</stp>
        <stp/>
        <stp>T</stp>
        <tr r="B84" s="1"/>
      </tp>
      <tp t="s">
        <v>CHARTER COMMUNICATIO</v>
        <stp/>
        <stp>ContractData</stp>
        <stp>S.US.CHTR</stp>
        <stp>LongDescription</stp>
        <stp/>
        <stp>T</stp>
        <tr r="B66" s="1"/>
      </tp>
      <tp t="s">
        <v>COSTCO WHOLESALE</v>
        <stp/>
        <stp>ContractData</stp>
        <stp>S.US.COST</stp>
        <stp>LongDescription</stp>
        <stp/>
        <stp>T</stp>
        <tr r="B12" s="1"/>
      </tp>
      <tp t="s">
        <v>COCA-COLA EUROPACIFI</v>
        <stp/>
        <stp>ContractData</stp>
        <stp>S.US.CCEP</stp>
        <stp>LongDescription</stp>
        <stp/>
        <stp>T</stp>
        <tr r="B94" s="1"/>
      </tp>
      <tp t="s">
        <v>CADENCE DESIGN SYS</v>
        <stp/>
        <stp>ContractData</stp>
        <stp>S.US.CDNS</stp>
        <stp>LongDescription</stp>
        <stp/>
        <stp>T</stp>
        <tr r="B51" s="1"/>
      </tp>
      <tp t="s">
        <v>BOOKING HOLDINGS INC</v>
        <stp/>
        <stp>ContractData</stp>
        <stp>S.US.BKNG</stp>
        <stp>LongDescription</stp>
        <stp/>
        <stp>T</stp>
        <tr r="B33" s="1"/>
      </tp>
      <tp t="s">
        <v>BIOGEN INC CMN</v>
        <stp/>
        <stp>ContractData</stp>
        <stp>S.US.BIIB</stp>
        <stp>LongDescription</stp>
        <stp/>
        <stp>T</stp>
        <tr r="B79" s="1"/>
      </tp>
      <tp t="s">
        <v>Expedia Group, Inc.</v>
        <stp/>
        <stp>ContractData</stp>
        <stp>S.US.EXPE</stp>
        <stp>LongDescription</stp>
        <stp/>
        <stp>T</stp>
        <tr r="B73" s="1"/>
      </tp>
      <tp t="s">
        <v>EQUINIX, INC.</v>
        <stp/>
        <stp>ContractData</stp>
        <stp>S.US.EQIX</stp>
        <stp>LongDescription</stp>
        <stp/>
        <stp>T</stp>
        <tr r="B103" s="1"/>
      </tp>
      <tp t="s">
        <v>DEXCOM</v>
        <stp/>
        <stp>ContractData</stp>
        <stp>S.US.DXCM</stp>
        <stp>LongDescription</stp>
        <stp/>
        <stp>T</stp>
        <tr r="B81" s="1"/>
      </tp>
      <tp t="s">
        <v>DOLLAR TREE INC</v>
        <stp/>
        <stp>ContractData</stp>
        <stp>S.US.DLTR</stp>
        <stp>LongDescription</stp>
        <stp/>
        <stp>T</stp>
        <tr r="B71" s="1"/>
      </tp>
      <tp t="s">
        <v>DOORDASH, INC. CL A</v>
        <stp/>
        <stp>ContractData</stp>
        <stp>S.US.DASH</stp>
        <stp>LongDescription</stp>
        <stp/>
        <stp>T</stp>
        <tr r="B70" s="1"/>
      </tp>
      <tp t="s">
        <v>DATADOG INC.L A CM</v>
        <stp/>
        <stp>ContractData</stp>
        <stp>S.US.DDOG</stp>
        <stp>LongDescription</stp>
        <stp/>
        <stp>T</stp>
        <tr r="B56" s="1"/>
      </tp>
      <tp t="s">
        <v>GILEAD SCIENCES, INC</v>
        <stp/>
        <stp>ContractData</stp>
        <stp>S.US.GILD</stp>
        <stp>LongDescription</stp>
        <stp/>
        <stp>T</stp>
        <tr r="B26" s="1"/>
      </tp>
      <tp t="s">
        <v>ALPHABET CL C CAP</v>
        <stp/>
        <stp>ContractData</stp>
        <stp>S.US.GOOG</stp>
        <stp>LongDescription</stp>
        <stp/>
        <stp>T</stp>
        <tr r="B7" s="1"/>
      </tp>
      <tp t="s">
        <v>GE HEALTHCARE CM</v>
        <stp/>
        <stp>ContractData</stp>
        <stp>S.US.GEHC</stp>
        <stp>LongDescription</stp>
        <stp/>
        <stp>T</stp>
        <tr r="B82" s="1"/>
      </tp>
      <tp t="s">
        <v>Fortinet, Inc.</v>
        <stp/>
        <stp>ContractData</stp>
        <stp>S.US.FTNT</stp>
        <stp>LongDescription</stp>
        <stp/>
        <stp>T</stp>
        <tr r="B57" s="1"/>
      </tp>
      <tp t="s">
        <v>Fastenal Co</v>
        <stp/>
        <stp>ContractData</stp>
        <stp>S.US.FAST</stp>
        <stp>LongDescription</stp>
        <stp/>
        <stp>T</stp>
        <tr r="B88" s="1"/>
      </tp>
      <tp t="s">
        <v>DIAMONDBACK ENERGY</v>
        <stp/>
        <stp>ContractData</stp>
        <stp>S.US.FANG</stp>
        <stp>LongDescription</stp>
        <stp/>
        <stp>T</stp>
        <tr r="B93" s="1"/>
      </tp>
      <tp t="s">
        <v>INTUITIVE SURG, INC.</v>
        <stp/>
        <stp>ContractData</stp>
        <stp>S.US.ISRG</stp>
        <stp>LongDescription</stp>
        <stp/>
        <stp>T</stp>
        <tr r="B28" s="1"/>
      </tp>
      <tp t="s">
        <v>INTUIT INC</v>
        <stp/>
        <stp>ContractData</stp>
        <stp>S.US.INTU</stp>
        <stp>LongDescription</stp>
        <stp/>
        <stp>T</stp>
        <tr r="B42" s="1"/>
      </tp>
      <tp t="s">
        <v>INTEL CORP</v>
        <stp/>
        <stp>ContractData</stp>
        <stp>S.US.INTC</stp>
        <stp>LongDescription</stp>
        <stp/>
        <stp>T</stp>
        <tr r="B19" s="1"/>
      </tp>
      <tp t="s">
        <v>IDEXX LABORATORIES</v>
        <stp/>
        <stp>ContractData</stp>
        <stp>S.US.IDXX</stp>
        <stp>LongDescription</stp>
        <stp/>
        <stp>T</stp>
        <tr r="B83" s="1"/>
      </tp>
      <tp t="s">
        <v>KLA CP CMN STK</v>
        <stp/>
        <stp>ContractData</stp>
        <stp>S.US.KLAC</stp>
        <stp>LongDescription</stp>
        <stp/>
        <stp>T</stp>
        <tr r="B21" s="1"/>
      </tp>
      <tp t="s">
        <v>STRATEGY INC CL A CS</v>
        <stp/>
        <stp>ContractData</stp>
        <stp>S.US.MSTR</stp>
        <stp>LongDescription</stp>
        <stp/>
        <stp>T</stp>
        <tr r="B60" s="1"/>
      </tp>
      <tp t="s">
        <v>MICROSOFT CORP</v>
        <stp/>
        <stp>ContractData</stp>
        <stp>S.US.MSFT</stp>
        <stp>LongDescription</stp>
        <stp/>
        <stp>T</stp>
        <tr r="B4" s="1"/>
      </tp>
      <tp t="s">
        <v>MARVELL TECH INC CMN</v>
        <stp/>
        <stp>ContractData</stp>
        <stp>S.US.MRVL</stp>
        <stp>LongDescription</stp>
        <stp/>
        <stp>T</stp>
        <tr r="B43" s="1"/>
      </tp>
      <tp t="s">
        <v>MONOLITHIC POWER SYS</v>
        <stp/>
        <stp>ContractData</stp>
        <stp>S.US.MPWR</stp>
        <stp>LongDescription</stp>
        <stp/>
        <stp>T</stp>
        <tr r="B59" s="1"/>
      </tp>
      <tp t="s">
        <v>MONSTER BEVERAGE CP</v>
        <stp/>
        <stp>ContractData</stp>
        <stp>S.US.MNST</stp>
        <stp>LongDescription</stp>
        <stp/>
        <stp>T</stp>
        <tr r="B98" s="1"/>
      </tp>
      <tp t="s">
        <v>MICROCHIP TECHNOLOGY</v>
        <stp/>
        <stp>ContractData</stp>
        <stp>S.US.MCHP</stp>
        <stp>LongDescription</stp>
        <stp/>
        <stp>T</stp>
        <tr r="B58" s="1"/>
      </tp>
      <tp t="s">
        <v>Meta Platforms, Inc.</v>
        <stp/>
        <stp>ContractData</stp>
        <stp>S.US.META</stp>
        <stp>LongDescription</stp>
        <stp/>
        <stp>T</stp>
        <tr r="B8" s="1"/>
      </tp>
      <tp t="s">
        <v>MERCADOLIBRE, INC.</v>
        <stp/>
        <stp>ContractData</stp>
        <stp>S.US.MELI</stp>
        <stp>LongDescription</stp>
        <stp/>
        <stp>T</stp>
        <tr r="B48" s="1"/>
      </tp>
      <tp t="s">
        <v>MONDELEZ INTL CMN A</v>
        <stp/>
        <stp>ContractData</stp>
        <stp>S.US.MDLZ</stp>
        <stp>LongDescription</stp>
        <stp/>
        <stp>T</stp>
        <tr r="B97" s="1"/>
      </tp>
      <tp t="s">
        <v>LAM RESEARCH CORP</v>
        <stp/>
        <stp>ContractData</stp>
        <stp>S.US.LRCX</stp>
        <stp>LongDescription</stp>
        <stp/>
        <stp>T</stp>
        <tr r="B17" s="1"/>
      </tp>
      <tp t="s">
        <v>LULULEMON ATHLETICA</v>
        <stp/>
        <stp>ContractData</stp>
        <stp>S.US.LULU</stp>
        <stp>LongDescription</stp>
        <stp/>
        <stp>T</stp>
        <tr r="B74" s="1"/>
      </tp>
      <tp t="s">
        <v>O'REILLY AUTOMOTIVE</v>
        <stp/>
        <stp>ContractData</stp>
        <stp>S.US.ORLY</stp>
        <stp>LongDescription</stp>
        <stp/>
        <stp>T</stp>
        <tr r="B75" s="1"/>
      </tp>
      <tp t="s">
        <v>NXP SEMICONDUCTORS</v>
        <stp/>
        <stp>ContractData</stp>
        <stp>S.US.NXPI</stp>
        <stp>LongDescription</stp>
        <stp/>
        <stp>T</stp>
        <tr r="B62" s="1"/>
      </tp>
      <tp t="s">
        <v>NVIDIA CORPORATION</v>
        <stp/>
        <stp>ContractData</stp>
        <stp>S.US.NVDA</stp>
        <stp>LongDescription</stp>
        <stp/>
        <stp>T</stp>
        <tr r="B2" s="1"/>
      </tp>
      <tp t="s">
        <v>NETFLIX, INC.</v>
        <stp/>
        <stp>ContractData</stp>
        <stp>S.US.NFLX</stp>
        <stp>LongDescription</stp>
        <stp/>
        <stp>T</stp>
        <tr r="B13" s="1"/>
      </tp>
      <tp t="s">
        <v>QUALCOMM Inc</v>
        <stp/>
        <stp>ContractData</stp>
        <stp>S.US.QCOM</stp>
        <stp>LongDescription</stp>
        <stp/>
        <stp>T</stp>
        <tr r="B35" s="1"/>
      </tp>
      <tp t="s">
        <v>PAYPAL HOLDINGS</v>
        <stp/>
        <stp>ContractData</stp>
        <stp>S.US.PYPL</stp>
        <stp>LongDescription</stp>
        <stp/>
        <stp>T</stp>
        <tr r="B104" s="1"/>
      </tp>
      <tp t="s">
        <v>PALANTIR TECH CL A</v>
        <stp/>
        <stp>ContractData</stp>
        <stp>S.US.PLTR</stp>
        <stp>LongDescription</stp>
        <stp/>
        <stp>T</stp>
        <tr r="B15" s="1"/>
      </tp>
      <tp t="s">
        <v>PACCAR INC.</v>
        <stp/>
        <stp>ContractData</stp>
        <stp>S.US.PCAR</stp>
        <stp>LongDescription</stp>
        <stp/>
        <stp>T</stp>
        <tr r="B90" s="1"/>
      </tp>
      <tp t="s">
        <v>PAYCHEX, INC.</v>
        <stp/>
        <stp>ContractData</stp>
        <stp>S.US.PAYX</stp>
        <stp>LongDescription</stp>
        <stp/>
        <stp>T</stp>
        <tr r="B89" s="1"/>
      </tp>
      <tp t="s">
        <v>PALO ALTO NTWKS CM</v>
        <stp/>
        <stp>ContractData</stp>
        <stp>S.US.PANW</stp>
        <stp>LongDescription</stp>
        <stp/>
        <stp>T</stp>
        <tr r="B34" s="1"/>
      </tp>
      <tp t="s">
        <v>Shopify Inc.</v>
        <stp/>
        <stp>ContractData</stp>
        <stp>S.US.SHOP</stp>
        <stp>LongDescription</stp>
        <stp/>
        <stp>T</stp>
        <tr r="B30" s="1"/>
      </tp>
      <tp t="s">
        <v>SYNOPSYS, INC.</v>
        <stp/>
        <stp>ContractData</stp>
        <stp>S.US.SNPS</stp>
        <stp>LongDescription</stp>
        <stp/>
        <stp>T</stp>
        <tr r="B63" s="1"/>
      </tp>
      <tp t="s">
        <v>Starbucks Corp</v>
        <stp/>
        <stp>ContractData</stp>
        <stp>S.US.SBUX</stp>
        <stp>LongDescription</stp>
        <stp/>
        <stp>T</stp>
        <tr r="B40" s="1"/>
      </tp>
      <tp t="s">
        <v>ROSS STORES, INC.</v>
        <stp/>
        <stp>ContractData</stp>
        <stp>S.US.ROST</stp>
        <stp>LongDescription</stp>
        <stp/>
        <stp>T</stp>
        <tr r="B76" s="1"/>
      </tp>
      <tp t="s">
        <v>REGENERON PHARMACEUT</v>
        <stp/>
        <stp>ContractData</stp>
        <stp>S.US.REGN</stp>
        <stp>LongDescription</stp>
        <stp/>
        <stp>T</stp>
        <tr r="B49" s="1"/>
      </tp>
      <tp t="s">
        <v>TESLA, INC.</v>
        <stp/>
        <stp>ContractData</stp>
        <stp>S.US.TSLA</stp>
        <stp>LongDescription</stp>
        <stp/>
        <stp>T</stp>
        <tr r="B10" s="1"/>
      </tp>
      <tp t="s">
        <v>T-MOBILE US CMN</v>
        <stp/>
        <stp>ContractData</stp>
        <stp>S.US.TMUS</stp>
        <stp>LongDescription</stp>
        <stp/>
        <stp>T</stp>
        <tr r="B22" s="1"/>
      </tp>
      <tp t="s">
        <v>WORKDAY INC CL A</v>
        <stp/>
        <stp>ContractData</stp>
        <stp>S.US.WDAY</stp>
        <stp>LongDescription</stp>
        <stp/>
        <stp>T</stp>
        <tr r="B64" s="1"/>
      </tp>
      <tp t="s">
        <v>VERISK ANALYTICS INC</v>
        <stp/>
        <stp>ContractData</stp>
        <stp>S.US.VRSK</stp>
        <stp>LongDescription</stp>
        <stp/>
        <stp>T</stp>
        <tr r="B91" s="1"/>
      </tp>
      <tp t="s">
        <v>VERTEX PHARMACEUTIC</v>
        <stp/>
        <stp>ContractData</stp>
        <stp>S.US.VRTX</stp>
        <stp>LongDescription</stp>
        <stp/>
        <stp>T</stp>
        <tr r="B39" s="1"/>
      </tp>
      <tp t="s">
        <v>ELECTRONIC ARTS INC</v>
        <stp/>
        <stp>ContractData</stp>
        <stp>S.US.EA</stp>
        <stp>LongDescription</stp>
        <stp/>
        <stp>T</stp>
        <tr r="B67" s="1"/>
      </tp>
      <tp t="s">
        <v>MICRON TECHNOLOGY</v>
        <stp/>
        <stp>ContractData</stp>
        <stp>S.US.MU</stp>
        <stp>LongDescription</stp>
        <stp/>
        <stp>T</stp>
        <tr r="B61" s="1"/>
      </tp>
      <tp t="s">
        <v>ZSCALER, INC. CMN</v>
        <stp/>
        <stp>ContractData</stp>
        <stp>S.US.ZS</stp>
        <stp>LongDescription</stp>
        <stp/>
        <stp>T</stp>
        <tr r="B65" s="1"/>
      </tp>
      <tp t="s">
        <v>Real Estate Select Sector SPDR</v>
        <stp/>
        <stp>ContractData</stp>
        <stp>S.XLRE</stp>
        <stp>LongDescription</stp>
        <stp/>
        <stp>T</stp>
        <tr r="W41" s="2"/>
      </tp>
      <tp t="s">
        <v/>
        <stp/>
        <stp>ContractData</stp>
        <stp>DJI</stp>
        <stp>High</stp>
        <stp/>
        <stp>T</stp>
        <tr r="H47" s="2"/>
      </tp>
      <tp t="s">
        <v/>
        <stp/>
        <stp>ContractData</stp>
        <stp>DJI</stp>
        <stp>Last</stp>
        <stp/>
        <stp>T</stp>
        <tr r="J47" s="2"/>
      </tp>
      <tp t="s">
        <v/>
        <stp/>
        <stp>ContractData</stp>
        <stp>DJI</stp>
        <stp>Open</stp>
        <stp/>
        <stp>T</stp>
        <tr r="G47" s="2"/>
      </tp>
      <tp>
        <v>83.16</v>
        <stp/>
        <stp>ContractData</stp>
        <stp>S.XLP</stp>
        <stp>Last</stp>
        <stp/>
        <stp>T</stp>
        <tr r="J39" s="2"/>
      </tp>
      <tp>
        <v>47.17</v>
        <stp/>
        <stp>ContractData</stp>
        <stp>S.XLU</stp>
        <stp>Last</stp>
        <stp/>
        <stp>T</stp>
        <tr r="E47" s="2"/>
      </tp>
      <tp>
        <v>149.08000000000001</v>
        <stp/>
        <stp>ContractData</stp>
        <stp>S.XLV</stp>
        <stp>Last</stp>
        <stp/>
        <stp>T</stp>
        <tr r="O43" s="2"/>
      </tp>
      <tp>
        <v>172.20000000000002</v>
        <stp/>
        <stp>ContractData</stp>
        <stp>S.XLI</stp>
        <stp>Last</stp>
        <stp/>
        <stp>T</stp>
        <tr r="T39" s="2"/>
      </tp>
      <tp>
        <v>142.46</v>
        <stp/>
        <stp>ContractData</stp>
        <stp>S.XLK</stp>
        <stp>Last</stp>
        <stp/>
        <stp>T</stp>
        <tr r="T43" s="2"/>
      </tp>
      <tp>
        <v>51.68</v>
        <stp/>
        <stp>ContractData</stp>
        <stp>S.XLB</stp>
        <stp>Last</stp>
        <stp/>
        <stp>T</stp>
        <tr r="Y39" s="2"/>
      </tp>
      <tp>
        <v>114.71000000000001</v>
        <stp/>
        <stp>ContractData</stp>
        <stp>S.XLC</stp>
        <stp>Last</stp>
        <stp/>
        <stp>T</stp>
        <tr r="E43" s="2"/>
      </tp>
      <tp>
        <v>57.32</v>
        <stp/>
        <stp>ContractData</stp>
        <stp>S.XLE</stp>
        <stp>Last</stp>
        <stp/>
        <stp>T</stp>
        <tr r="J43" s="2"/>
      </tp>
      <tp>
        <v>51.22</v>
        <stp/>
        <stp>ContractData</stp>
        <stp>S.XLF</stp>
        <stp>Last</stp>
        <stp/>
        <stp>T</stp>
        <tr r="O39" s="2"/>
      </tp>
      <tp t="s">
        <v/>
        <stp/>
        <stp>ContractData</stp>
        <stp>S.US.CMCSA</stp>
        <stp>PerCentNetLastTrade</stp>
        <stp/>
        <stp>T</stp>
        <tr r="D45" s="1"/>
      </tp>
      <tp t="s">
        <v/>
        <stp/>
        <stp>ContractData</stp>
        <stp>NDX</stp>
        <stp>High</stp>
        <stp/>
        <stp>T</stp>
        <tr r="C39" s="2"/>
      </tp>
      <tp t="s">
        <v/>
        <stp/>
        <stp>ContractData</stp>
        <stp>S.US.GOOGL</stp>
        <stp>PerCentNetLastTrade</stp>
        <stp/>
        <stp>T</stp>
        <tr r="D6" s="1"/>
      </tp>
      <tp t="s">
        <v/>
        <stp/>
        <stp>ContractData</stp>
        <stp>S.XLK</stp>
        <stp>Open</stp>
        <stp/>
        <stp>T</stp>
        <tr r="Q43" s="2"/>
      </tp>
      <tp t="s">
        <v/>
        <stp/>
        <stp>ContractData</stp>
        <stp>S.XLI</stp>
        <stp>Open</stp>
        <stp/>
        <stp>T</stp>
        <tr r="Q39" s="2"/>
      </tp>
      <tp t="s">
        <v/>
        <stp/>
        <stp>ContractData</stp>
        <stp>S.XLF</stp>
        <stp>Open</stp>
        <stp/>
        <stp>T</stp>
        <tr r="L39" s="2"/>
      </tp>
      <tp t="s">
        <v/>
        <stp/>
        <stp>ContractData</stp>
        <stp>S.XLE</stp>
        <stp>Open</stp>
        <stp/>
        <stp>T</stp>
        <tr r="G43" s="2"/>
      </tp>
      <tp t="s">
        <v/>
        <stp/>
        <stp>ContractData</stp>
        <stp>S.XLB</stp>
        <stp>Open</stp>
        <stp/>
        <stp>T</stp>
        <tr r="V39" s="2"/>
      </tp>
      <tp t="s">
        <v/>
        <stp/>
        <stp>ContractData</stp>
        <stp>S.XLC</stp>
        <stp>Open</stp>
        <stp/>
        <stp>T</stp>
        <tr r="B43" s="2"/>
      </tp>
      <tp t="s">
        <v/>
        <stp/>
        <stp>ContractData</stp>
        <stp>S.XLV</stp>
        <stp>Open</stp>
        <stp/>
        <stp>T</stp>
        <tr r="L43" s="2"/>
      </tp>
      <tp t="s">
        <v/>
        <stp/>
        <stp>ContractData</stp>
        <stp>S.XLU</stp>
        <stp>Open</stp>
        <stp/>
        <stp>T</stp>
        <tr r="B47" s="2"/>
      </tp>
      <tp t="s">
        <v/>
        <stp/>
        <stp>ContractData</stp>
        <stp>S.XLP</stp>
        <stp>Open</stp>
        <stp/>
        <stp>T</stp>
        <tr r="G39" s="2"/>
      </tp>
      <tp t="s">
        <v/>
        <stp/>
        <stp>ContractData</stp>
        <stp>S.XLI</stp>
        <stp>High</stp>
        <stp/>
        <stp>T</stp>
        <tr r="R39" s="2"/>
      </tp>
      <tp t="s">
        <v/>
        <stp/>
        <stp>ContractData</stp>
        <stp>S.XLK</stp>
        <stp>High</stp>
        <stp/>
        <stp>T</stp>
        <tr r="R43" s="2"/>
      </tp>
      <tp t="s">
        <v/>
        <stp/>
        <stp>ContractData</stp>
        <stp>S.XLE</stp>
        <stp>High</stp>
        <stp/>
        <stp>T</stp>
        <tr r="H43" s="2"/>
      </tp>
      <tp t="s">
        <v/>
        <stp/>
        <stp>ContractData</stp>
        <stp>S.XLF</stp>
        <stp>High</stp>
        <stp/>
        <stp>T</stp>
        <tr r="M39" s="2"/>
      </tp>
      <tp t="s">
        <v/>
        <stp/>
        <stp>ContractData</stp>
        <stp>S.XLB</stp>
        <stp>High</stp>
        <stp/>
        <stp>T</stp>
        <tr r="W39" s="2"/>
      </tp>
      <tp t="s">
        <v/>
        <stp/>
        <stp>ContractData</stp>
        <stp>S.XLC</stp>
        <stp>High</stp>
        <stp/>
        <stp>T</stp>
        <tr r="C43" s="2"/>
      </tp>
      <tp t="s">
        <v/>
        <stp/>
        <stp>ContractData</stp>
        <stp>S.XLU</stp>
        <stp>High</stp>
        <stp/>
        <stp>T</stp>
        <tr r="C47" s="2"/>
      </tp>
      <tp t="s">
        <v/>
        <stp/>
        <stp>ContractData</stp>
        <stp>S.XLV</stp>
        <stp>High</stp>
        <stp/>
        <stp>T</stp>
        <tr r="M43" s="2"/>
      </tp>
      <tp t="s">
        <v/>
        <stp/>
        <stp>ContractData</stp>
        <stp>S.XLP</stp>
        <stp>High</stp>
        <stp/>
        <stp>T</stp>
        <tr r="H39" s="2"/>
      </tp>
      <tp t="s">
        <v/>
        <stp/>
        <stp>ContractData</stp>
        <stp>NDX</stp>
        <stp>Open</stp>
        <stp/>
        <stp>T</stp>
        <tr r="B39" s="2"/>
      </tp>
      <tp t="s">
        <v>Linde PLC</v>
        <stp/>
        <stp>ContractData</stp>
        <stp>S.US.LIN</stp>
        <stp>LongDescription</stp>
        <stp/>
        <stp>T</stp>
        <tr r="B20" s="1"/>
      </tp>
      <tp t="s">
        <v>MARRIOTT INT CL A CM</v>
        <stp/>
        <stp>ContractData</stp>
        <stp>S.US.MAR</stp>
        <stp>LongDescription</stp>
        <stp/>
        <stp>T</stp>
        <tr r="B47" s="1"/>
      </tp>
      <tp t="s">
        <v>HONEYWELL INTL INC</v>
        <stp/>
        <stp>ContractData</stp>
        <stp>S.US.HON</stp>
        <stp>LongDescription</stp>
        <stp/>
        <stp>T</stp>
        <tr r="B31" s="1"/>
      </tp>
      <tp t="s">
        <v>KEURIG DR PEPPER INC</v>
        <stp/>
        <stp>ContractData</stp>
        <stp>S.US.KDP</stp>
        <stp>LongDescription</stp>
        <stp/>
        <stp>T</stp>
        <tr r="B95" s="1"/>
      </tp>
      <tp t="s">
        <v>KRAFT HEINZ CO CMN</v>
        <stp/>
        <stp>ContractData</stp>
        <stp>S.US.KHC</stp>
        <stp>LongDescription</stp>
        <stp/>
        <stp>T</stp>
        <tr r="B96" s="1"/>
      </tp>
      <tp t="s">
        <v>DOMINOS PIZZA INC CM</v>
        <stp/>
        <stp>ContractData</stp>
        <stp>S.US.DPZ</stp>
        <stp>LongDescription</stp>
        <stp/>
        <stp>T</stp>
        <tr r="B72" s="1"/>
      </tp>
      <tp t="s">
        <v>EXELON CORP CMN STK</v>
        <stp/>
        <stp>ContractData</stp>
        <stp>S.US.EXC</stp>
        <stp>LongDescription</stp>
        <stp/>
        <stp>T</stp>
        <tr r="B100" s="1"/>
      </tp>
      <tp t="s">
        <v>APPLOVIN CORP CLA CM</v>
        <stp/>
        <stp>ContractData</stp>
        <stp>S.US.APP</stp>
        <stp>LongDescription</stp>
        <stp/>
        <stp>T</stp>
        <tr r="B36" s="1"/>
      </tp>
      <tp t="s">
        <v>ARM HOLDINGS PLC ADS</v>
        <stp/>
        <stp>ContractData</stp>
        <stp>S.US.ARM</stp>
        <stp>LongDescription</stp>
        <stp/>
        <stp>T</stp>
        <tr r="B29" s="1"/>
      </tp>
      <tp t="s">
        <v>AMER ELC PWR CO CMN</v>
        <stp/>
        <stp>ContractData</stp>
        <stp>S.US.AEP</stp>
        <stp>LongDescription</stp>
        <stp/>
        <stp>T</stp>
        <tr r="B99" s="1"/>
      </tp>
      <tp t="s">
        <v>Analog Devices Inc</v>
        <stp/>
        <stp>ContractData</stp>
        <stp>S.US.ADI</stp>
        <stp>LongDescription</stp>
        <stp/>
        <stp>T</stp>
        <tr r="B27" s="1"/>
      </tp>
      <tp t="s">
        <v>AUTOMATIC DATA PROCS</v>
        <stp/>
        <stp>ContractData</stp>
        <stp>S.US.ADP</stp>
        <stp>LongDescription</stp>
        <stp/>
        <stp>T</stp>
        <tr r="B50" s="1"/>
      </tp>
      <tp t="s">
        <v>ADV MICRO DEVICES</v>
        <stp/>
        <stp>ContractData</stp>
        <stp>S.US.AMD</stp>
        <stp>LongDescription</stp>
        <stp/>
        <stp>T</stp>
        <tr r="B14" s="1"/>
      </tp>
      <tp t="s">
        <v>BAKER HUGHES CO</v>
        <stp/>
        <stp>ContractData</stp>
        <stp>S.US.BKR</stp>
        <stp>LongDescription</stp>
        <stp/>
        <stp>T</stp>
        <tr r="B92" s="1"/>
      </tp>
      <tp t="s">
        <v>CSX Corporation</v>
        <stp/>
        <stp>ContractData</stp>
        <stp>S.US.CSX</stp>
        <stp>LongDescription</stp>
        <stp/>
        <stp>T</stp>
        <tr r="B87" s="1"/>
      </tp>
      <tp t="s">
        <v>CONSTELLATION EN CM</v>
        <stp/>
        <stp>ContractData</stp>
        <stp>S.US.CEG</stp>
        <stp>LongDescription</stp>
        <stp/>
        <stp>T</stp>
        <tr r="B44" s="1"/>
      </tp>
      <tp t="s">
        <v>CDW Corporation</v>
        <stp/>
        <stp>ContractData</stp>
        <stp>S.US.CDW</stp>
        <stp>LongDescription</stp>
        <stp/>
        <stp>T</stp>
        <tr r="B54" s="1"/>
      </tp>
      <tp t="s">
        <v>THE COOPER CO INC CM</v>
        <stp/>
        <stp>ContractData</stp>
        <stp>S.US.COO</stp>
        <stp>LongDescription</stp>
        <stp/>
        <stp>T</stp>
        <tr r="B80" s="1"/>
      </tp>
      <tp t="s">
        <v>Xcel Energy Inc</v>
        <stp/>
        <stp>ContractData</stp>
        <stp>S.US.XEL</stp>
        <stp>LongDescription</stp>
        <stp/>
        <stp>T</stp>
        <tr r="B101" s="1"/>
      </tp>
      <tp t="s">
        <v>TEXAS INSTRUMENTS</v>
        <stp/>
        <stp>ContractData</stp>
        <stp>S.US.TXN</stp>
        <stp>LongDescription</stp>
        <stp/>
        <stp>T</stp>
        <tr r="B24" s="1"/>
      </tp>
      <tp t="s">
        <v>WRNR BRS DS CM WI</v>
        <stp/>
        <stp>ContractData</stp>
        <stp>S.US.WBD</stp>
        <stp>LongDescription</stp>
        <stp/>
        <stp>T</stp>
        <tr r="B68" s="1"/>
      </tp>
      <tp t="s">
        <v>WESTERN DIGITAL CP</v>
        <stp/>
        <stp>ContractData</stp>
        <stp>S.US.WDC</stp>
        <stp>LongDescription</stp>
        <stp/>
        <stp>T</stp>
        <tr r="B37" s="1"/>
      </tp>
      <tp t="s">
        <v>WALMART INC CMN</v>
        <stp/>
        <stp>ContractData</stp>
        <stp>S.US.WMT</stp>
        <stp>LongDescription</stp>
        <stp/>
        <stp>T</stp>
        <tr r="B11" s="1"/>
      </tp>
      <tp t="s">
        <v>PepsiCo Inc</v>
        <stp/>
        <stp>ContractData</stp>
        <stp>S.US.PEP</stp>
        <stp>LongDescription</stp>
        <stp/>
        <stp>T</stp>
        <tr r="B23" s="1"/>
      </tp>
      <tp t="s">
        <v>PDD HOLDINGS INC ADS</v>
        <stp/>
        <stp>ContractData</stp>
        <stp>S.US.PDD</stp>
        <stp>LongDescription</stp>
        <stp/>
        <stp>T</stp>
        <tr r="B32" s="1"/>
      </tp>
      <tp t="s">
        <v>SEAGATE TCH HLDGS OR</v>
        <stp/>
        <stp>ContractData</stp>
        <stp>S.US.STX</stp>
        <stp>LongDescription</stp>
        <stp/>
        <stp>T</stp>
        <tr r="B38" s="1"/>
      </tp>
      <tp t="s">
        <v/>
        <stp/>
        <stp>ContractData</stp>
        <stp>NDX</stp>
        <stp>Last</stp>
        <stp/>
        <stp>T</stp>
        <tr r="E39" s="2"/>
      </tp>
      <tp t="s">
        <v/>
        <stp/>
        <stp>ContractData</stp>
        <stp>DJI</stp>
        <stp>Low</stp>
        <stp/>
        <stp>T</stp>
        <tr r="I47" s="2"/>
      </tp>
      <tp t="s">
        <v/>
        <stp/>
        <stp>ContractData</stp>
        <stp>NDX</stp>
        <stp>Low</stp>
        <stp/>
        <stp>T</stp>
        <tr r="D39" s="2"/>
      </tp>
      <tp t="s">
        <v/>
        <stp/>
        <stp>ContractData</stp>
        <stp>SPC</stp>
        <stp>Open</stp>
        <stp/>
        <stp>T</stp>
        <tr r="Q47" s="2"/>
        <tr r="L47" s="2"/>
      </tp>
      <tp t="s">
        <v/>
        <stp/>
        <stp>ContractData</stp>
        <stp>SPC</stp>
        <stp>Low</stp>
        <stp/>
        <stp>T</stp>
        <tr r="S47" s="2"/>
        <tr r="N47" s="2"/>
      </tp>
      <tp>
        <v>19.25</v>
        <stp/>
        <stp>ContractData</stp>
        <stp>VIX</stp>
        <stp>Low</stp>
        <stp/>
        <stp>T</stp>
        <tr r="X47" s="2"/>
      </tp>
      <tp t="s">
        <v/>
        <stp/>
        <stp>ContractData</stp>
        <stp>S.XLRE</stp>
        <stp>High</stp>
        <stp/>
        <stp>T</stp>
        <tr r="W43" s="2"/>
      </tp>
      <tp>
        <v>19.79</v>
        <stp/>
        <stp>ContractData</stp>
        <stp>VIX</stp>
        <stp>High</stp>
        <stp/>
        <stp>T</stp>
        <tr r="W47" s="2"/>
      </tp>
      <tp t="s">
        <v/>
        <stp/>
        <stp>ContractData</stp>
        <stp>SPC</stp>
        <stp>Last</stp>
        <stp/>
        <stp>T</stp>
        <tr r="T47" s="2"/>
        <tr r="O47" s="2"/>
      </tp>
      <tp t="s">
        <v/>
        <stp/>
        <stp>ContractData</stp>
        <stp>S.XLRE</stp>
        <stp>Open</stp>
        <stp/>
        <stp>T</stp>
        <tr r="V43" s="2"/>
      </tp>
      <tp>
        <v>19.71</v>
        <stp/>
        <stp>ContractData</stp>
        <stp>VIX</stp>
        <stp>Open</stp>
        <stp/>
        <stp>T</stp>
        <tr r="V47" s="2"/>
      </tp>
      <tp>
        <v>42.87</v>
        <stp/>
        <stp>ContractData</stp>
        <stp>S.XLRE</stp>
        <stp>Last</stp>
        <stp/>
        <stp>T</stp>
        <tr r="Y43" s="2"/>
      </tp>
      <tp>
        <v>19.27</v>
        <stp/>
        <stp>ContractData</stp>
        <stp>VIX</stp>
        <stp>Last</stp>
        <stp/>
        <stp>T</stp>
        <tr r="Y47" s="2"/>
      </tp>
      <tp t="s">
        <v/>
        <stp/>
        <stp>ContractData</stp>
        <stp>SPC</stp>
        <stp>High</stp>
        <stp/>
        <stp>T</stp>
        <tr r="R47" s="2"/>
        <tr r="M47" s="2"/>
      </tp>
      <tp t="s">
        <v/>
        <stp/>
        <stp>ContractData</stp>
        <stp>S.XLI</stp>
        <stp>Low</stp>
        <stp/>
        <stp>T</stp>
        <tr r="S39" s="2"/>
      </tp>
      <tp t="s">
        <v/>
        <stp/>
        <stp>ContractData</stp>
        <stp>S.XLK</stp>
        <stp>Low</stp>
        <stp/>
        <stp>T</stp>
        <tr r="S43" s="2"/>
      </tp>
      <tp t="s">
        <v/>
        <stp/>
        <stp>ContractData</stp>
        <stp>S.XLB</stp>
        <stp>Low</stp>
        <stp/>
        <stp>T</stp>
        <tr r="X39" s="2"/>
      </tp>
      <tp t="s">
        <v/>
        <stp/>
        <stp>ContractData</stp>
        <stp>S.XLC</stp>
        <stp>Low</stp>
        <stp/>
        <stp>T</stp>
        <tr r="D43" s="2"/>
      </tp>
      <tp t="s">
        <v/>
        <stp/>
        <stp>ContractData</stp>
        <stp>S.XLE</stp>
        <stp>Low</stp>
        <stp/>
        <stp>T</stp>
        <tr r="I43" s="2"/>
      </tp>
      <tp t="s">
        <v/>
        <stp/>
        <stp>ContractData</stp>
        <stp>S.XLF</stp>
        <stp>Low</stp>
        <stp/>
        <stp>T</stp>
        <tr r="N39" s="2"/>
      </tp>
      <tp t="s">
        <v/>
        <stp/>
        <stp>ContractData</stp>
        <stp>S.XLP</stp>
        <stp>Low</stp>
        <stp/>
        <stp>T</stp>
        <tr r="I39" s="2"/>
      </tp>
      <tp t="s">
        <v/>
        <stp/>
        <stp>ContractData</stp>
        <stp>S.XLU</stp>
        <stp>Low</stp>
        <stp/>
        <stp>T</stp>
        <tr r="D47" s="2"/>
      </tp>
      <tp t="s">
        <v/>
        <stp/>
        <stp>ContractData</stp>
        <stp>S.XLV</stp>
        <stp>Low</stp>
        <stp/>
        <stp>T</stp>
        <tr r="N43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aseline="0">
                <a:solidFill>
                  <a:schemeClr val="bg1"/>
                </a:solidFill>
                <a:latin typeface="Century Gothic" panose="020B0502020202020204" pitchFamily="34" charset="0"/>
              </a:rPr>
              <a:t>NASDAQ 100 by Sectors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1DA4DCE-EAB2-436D-AC2C-4AC21CA79D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C81-4EF9-BE9D-64F4134B42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87C3E76-3604-4754-BA8C-198270C2E5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C81-4EF9-BE9D-64F4134B42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95D391C-3504-4B43-ADEC-585B707B1F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C81-4EF9-BE9D-64F4134B42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7517853-E3B7-457E-9EF4-FA70B1F972F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C81-4EF9-BE9D-64F4134B42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DF4A1F4-5617-4A40-A49E-8DF2153490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C81-4EF9-BE9D-64F4134B42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6B63D57-0F51-4879-B589-03D138D575B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C81-4EF9-BE9D-64F4134B42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195F3D9-1F1E-4D13-89F1-D3594B93E0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C81-4EF9-BE9D-64F4134B42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862B182-0410-4867-B24D-9FF9A79E27E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C81-4EF9-BE9D-64F4134B42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B21AC9B-A281-4F53-B954-64D663877B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C81-4EF9-BE9D-64F4134B42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7EB4574-F127-4962-821D-6A02806173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C81-4EF9-BE9D-64F4134B42E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730362D-9069-4C39-9E62-D0ED15EC2F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1C81-4EF9-BE9D-64F4134B42E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FAA4607-EAEB-451E-9BFC-206409F33A5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1C81-4EF9-BE9D-64F4134B42E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EFEEDA2-1E58-4180-A450-1BC47898BC1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1C81-4EF9-BE9D-64F4134B42E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52345CF-CEC5-4996-BD87-1983A70B42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1C81-4EF9-BE9D-64F4134B42E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C3FBA366-7E17-4188-89C1-E9F7EF6E8BA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1C81-4EF9-BE9D-64F4134B42E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EBB0083-33F8-400E-BB50-C7B1EB1F682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1C81-4EF9-BE9D-64F4134B42E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23475F37-BA0E-4398-8FEC-E8E12BF839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1C81-4EF9-BE9D-64F4134B42E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7FDC11D-5FC4-48D8-8305-77D5D50837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1C81-4EF9-BE9D-64F4134B42E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704ADD4-EE5B-40B3-9177-931C4A9E80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1C81-4EF9-BE9D-64F4134B42E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249CB79-6033-4B30-A326-FACFA833E1D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1C81-4EF9-BE9D-64F4134B42E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B096A71-920B-4303-9085-6CC2A2F5E0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1C81-4EF9-BE9D-64F4134B42E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EE6D3AA-9129-45A4-B331-BB061E197D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1C81-4EF9-BE9D-64F4134B42E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3971DD7-2C6B-4CB1-93CE-047F605890D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1C81-4EF9-BE9D-64F4134B42E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9DCFA9E-07D9-41FD-8FB6-0ECDF71108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1C81-4EF9-BE9D-64F4134B42E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21A2218D-ABDC-4C05-BB1B-245FC17186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1C81-4EF9-BE9D-64F4134B42E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356C5D2E-5DE2-487A-A69E-96C727FE05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1C81-4EF9-BE9D-64F4134B42E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CBB14909-A448-4A52-9641-9AC1292537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1C81-4EF9-BE9D-64F4134B42E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7F07E3D5-A1DF-406D-9047-3180EDC5CD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1C81-4EF9-BE9D-64F4134B42E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B8EF904-12C1-4C32-9E3B-FE56EE10F9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1C81-4EF9-BE9D-64F4134B42E9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4A1850D1-EEA9-4333-9808-EA96CF1BE37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1C81-4EF9-BE9D-64F4134B42E9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0B9C0A1E-2AEE-4486-83FF-30AE654E45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1C81-4EF9-BE9D-64F4134B42E9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B011D797-8C60-49BF-9CE1-D25CF5ED29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1C81-4EF9-BE9D-64F4134B42E9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42EAF50D-2A41-4995-85A2-5A18F599F31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1C81-4EF9-BE9D-64F4134B42E9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920FAB09-72A1-4B76-A94D-E75EB5E57E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1C81-4EF9-BE9D-64F4134B42E9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fld id="{99DB5FCF-1FB8-47D9-89A2-92F5481502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1C81-4EF9-BE9D-64F4134B42E9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60ACF7F1-FE22-495A-BCCC-0395699C91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1C81-4EF9-BE9D-64F4134B42E9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D31AF33F-A86F-47B2-84AC-BD59220881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1C81-4EF9-BE9D-64F4134B42E9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F16212AA-9BD6-46DF-B684-DEB73B0A497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1C81-4EF9-BE9D-64F4134B42E9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184D1393-B344-4562-B0CA-1C987AA845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1C81-4EF9-BE9D-64F4134B42E9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6FC2D251-FCDD-409E-AE02-7F718FD8ADD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1C81-4EF9-BE9D-64F4134B42E9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D6026CE3-70B1-40E7-95BC-EFFCDDD5337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1C81-4EF9-BE9D-64F4134B42E9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18EEFCB6-2FA4-4F19-8800-04A6CDEA43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1C81-4EF9-BE9D-64F4134B42E9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3258629F-B950-4665-980F-FC6832F4D18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1C81-4EF9-BE9D-64F4134B42E9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6BFA40A0-B0A1-4C12-944D-75A171489C1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1C81-4EF9-BE9D-64F4134B42E9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fld id="{1D87495E-0403-4B76-96AC-2100917BB3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1C81-4EF9-BE9D-64F4134B42E9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4BE52B36-0B69-4824-92E4-57FF56156D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1C81-4EF9-BE9D-64F4134B42E9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3C5EBE34-A619-4126-9A76-B3A6A317E0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1C81-4EF9-BE9D-64F4134B42E9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678E93A8-68F5-49FD-B4BC-DAAEF4F129C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1C81-4EF9-BE9D-64F4134B42E9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47166B54-B985-40E1-8F1A-5B9A48E64BF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1C81-4EF9-BE9D-64F4134B42E9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37946EFC-E9AB-42B7-BCAF-C85EF58FE6E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1C81-4EF9-BE9D-64F4134B42E9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91E02F36-7890-48DB-95F8-3F8FC50D7A6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1C81-4EF9-BE9D-64F4134B42E9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CE84072A-26F3-4923-A65D-45064A83B0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1C81-4EF9-BE9D-64F4134B42E9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90786C80-3FAC-466D-80B2-031DB500888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1C81-4EF9-BE9D-64F4134B42E9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A4CE36DD-7200-47EC-BC7B-B5075241E4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1C81-4EF9-BE9D-64F4134B42E9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6AF7D628-056D-4579-8BAE-CC6AC90B8D7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1C81-4EF9-BE9D-64F4134B42E9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802DC573-2F08-4208-99C8-E7E79867B8F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1C81-4EF9-BE9D-64F4134B42E9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fld id="{D10DB2B3-4043-430E-9C66-07BEED9266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1C81-4EF9-BE9D-64F4134B42E9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fld id="{A161B7BE-CA75-4786-B8C5-56D0DF0C798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1C81-4EF9-BE9D-64F4134B42E9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fld id="{3AAAAFB9-A45A-462A-9D39-8E3BCF5C43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1C81-4EF9-BE9D-64F4134B42E9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fld id="{CAC64CCE-6E0D-4BD9-B1E3-9DA16B0C135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1C81-4EF9-BE9D-64F4134B42E9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fld id="{D0C50315-3354-43F3-AA71-65FE4BE20B2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1C81-4EF9-BE9D-64F4134B42E9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fld id="{3C03483F-B084-47B7-9E05-462F52DA53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1C81-4EF9-BE9D-64F4134B42E9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fld id="{DB8F2E70-6F19-4F98-B7D5-511FCD28E9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1C81-4EF9-BE9D-64F4134B42E9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fld id="{FE2D5157-33B1-47FB-940D-281E87CC9E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1C81-4EF9-BE9D-64F4134B42E9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fld id="{F230DB5B-1547-4AC9-B5EB-E0E84D5896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1C81-4EF9-BE9D-64F4134B42E9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fld id="{5B32410F-2F31-4E02-94E5-D7D60D6B9C0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1C81-4EF9-BE9D-64F4134B42E9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fld id="{43AF8368-3834-4C84-8918-5DCE0AC6D4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1C81-4EF9-BE9D-64F4134B42E9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fld id="{C3F9B991-01F2-4BE3-A431-C03C64C772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1C81-4EF9-BE9D-64F4134B42E9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fld id="{8D5861D6-F563-4D59-B8BD-A9F1A35A0AD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1C81-4EF9-BE9D-64F4134B42E9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fld id="{D5AEB75C-C8F7-417D-A1F3-88076AD475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1C81-4EF9-BE9D-64F4134B42E9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fld id="{EC399050-0047-4200-8068-C4CBCFFFF81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1C81-4EF9-BE9D-64F4134B42E9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fld id="{6F48B867-76A1-4AC6-8381-78DE3A4678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1C81-4EF9-BE9D-64F4134B42E9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fld id="{F6C75916-198E-4FF1-8B32-E6598342457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9-1C81-4EF9-BE9D-64F4134B42E9}"/>
                </c:ext>
              </c:extLst>
            </c:dLbl>
            <c:dLbl>
              <c:idx val="73"/>
              <c:tx>
                <c:rich>
                  <a:bodyPr/>
                  <a:lstStyle/>
                  <a:p>
                    <a:fld id="{9F523015-6A12-4342-8D10-253EBDEF422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A-1C81-4EF9-BE9D-64F4134B42E9}"/>
                </c:ext>
              </c:extLst>
            </c:dLbl>
            <c:dLbl>
              <c:idx val="74"/>
              <c:tx>
                <c:rich>
                  <a:bodyPr/>
                  <a:lstStyle/>
                  <a:p>
                    <a:fld id="{68D36D67-325E-4F82-A393-BD5B04AA90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B-1C81-4EF9-BE9D-64F4134B42E9}"/>
                </c:ext>
              </c:extLst>
            </c:dLbl>
            <c:dLbl>
              <c:idx val="75"/>
              <c:tx>
                <c:rich>
                  <a:bodyPr/>
                  <a:lstStyle/>
                  <a:p>
                    <a:fld id="{317A8334-A058-4C2A-90CE-2431D817B6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C-1C81-4EF9-BE9D-64F4134B42E9}"/>
                </c:ext>
              </c:extLst>
            </c:dLbl>
            <c:dLbl>
              <c:idx val="76"/>
              <c:tx>
                <c:rich>
                  <a:bodyPr/>
                  <a:lstStyle/>
                  <a:p>
                    <a:fld id="{8F845546-AB44-43D4-AC40-84883CB7C45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D-1C81-4EF9-BE9D-64F4134B42E9}"/>
                </c:ext>
              </c:extLst>
            </c:dLbl>
            <c:dLbl>
              <c:idx val="77"/>
              <c:tx>
                <c:rich>
                  <a:bodyPr/>
                  <a:lstStyle/>
                  <a:p>
                    <a:fld id="{34451C7B-682D-46B0-B403-0FA3328073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E-1C81-4EF9-BE9D-64F4134B42E9}"/>
                </c:ext>
              </c:extLst>
            </c:dLbl>
            <c:dLbl>
              <c:idx val="78"/>
              <c:tx>
                <c:rich>
                  <a:bodyPr/>
                  <a:lstStyle/>
                  <a:p>
                    <a:fld id="{28C03253-C0FF-4F0C-BC1B-87D1BF6BF66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F-1C81-4EF9-BE9D-64F4134B42E9}"/>
                </c:ext>
              </c:extLst>
            </c:dLbl>
            <c:dLbl>
              <c:idx val="79"/>
              <c:tx>
                <c:rich>
                  <a:bodyPr/>
                  <a:lstStyle/>
                  <a:p>
                    <a:fld id="{F5E7DD4B-B750-496F-8474-B78F43A1CCD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0-1C81-4EF9-BE9D-64F4134B42E9}"/>
                </c:ext>
              </c:extLst>
            </c:dLbl>
            <c:dLbl>
              <c:idx val="80"/>
              <c:tx>
                <c:rich>
                  <a:bodyPr/>
                  <a:lstStyle/>
                  <a:p>
                    <a:fld id="{9275250F-1498-4099-90C1-D7BB078BB29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1-1C81-4EF9-BE9D-64F4134B42E9}"/>
                </c:ext>
              </c:extLst>
            </c:dLbl>
            <c:dLbl>
              <c:idx val="81"/>
              <c:tx>
                <c:rich>
                  <a:bodyPr/>
                  <a:lstStyle/>
                  <a:p>
                    <a:fld id="{0BB5223F-807E-43E1-A6ED-09B6F358C7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2-1C81-4EF9-BE9D-64F4134B42E9}"/>
                </c:ext>
              </c:extLst>
            </c:dLbl>
            <c:dLbl>
              <c:idx val="82"/>
              <c:tx>
                <c:rich>
                  <a:bodyPr/>
                  <a:lstStyle/>
                  <a:p>
                    <a:fld id="{49A3D903-2DDD-46EA-9AC8-BF094466F17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3-1C81-4EF9-BE9D-64F4134B42E9}"/>
                </c:ext>
              </c:extLst>
            </c:dLbl>
            <c:dLbl>
              <c:idx val="83"/>
              <c:tx>
                <c:rich>
                  <a:bodyPr/>
                  <a:lstStyle/>
                  <a:p>
                    <a:fld id="{DE3274B4-6BE0-413A-B960-DE9F97F099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4-1C81-4EF9-BE9D-64F4134B42E9}"/>
                </c:ext>
              </c:extLst>
            </c:dLbl>
            <c:dLbl>
              <c:idx val="84"/>
              <c:tx>
                <c:rich>
                  <a:bodyPr/>
                  <a:lstStyle/>
                  <a:p>
                    <a:fld id="{BF027AC8-95B8-4F68-B83F-ED411468B78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5-1C81-4EF9-BE9D-64F4134B42E9}"/>
                </c:ext>
              </c:extLst>
            </c:dLbl>
            <c:dLbl>
              <c:idx val="85"/>
              <c:tx>
                <c:rich>
                  <a:bodyPr/>
                  <a:lstStyle/>
                  <a:p>
                    <a:fld id="{C35454F2-64F4-47C1-AF07-638E1858A7F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6-1C81-4EF9-BE9D-64F4134B42E9}"/>
                </c:ext>
              </c:extLst>
            </c:dLbl>
            <c:dLbl>
              <c:idx val="86"/>
              <c:tx>
                <c:rich>
                  <a:bodyPr/>
                  <a:lstStyle/>
                  <a:p>
                    <a:fld id="{44655AF7-A5C4-45BA-A303-63A39CFD72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7-1C81-4EF9-BE9D-64F4134B42E9}"/>
                </c:ext>
              </c:extLst>
            </c:dLbl>
            <c:dLbl>
              <c:idx val="87"/>
              <c:tx>
                <c:rich>
                  <a:bodyPr/>
                  <a:lstStyle/>
                  <a:p>
                    <a:fld id="{8B5D9ECB-8BFC-495B-8CE1-CD9929880E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8-1C81-4EF9-BE9D-64F4134B42E9}"/>
                </c:ext>
              </c:extLst>
            </c:dLbl>
            <c:dLbl>
              <c:idx val="88"/>
              <c:tx>
                <c:rich>
                  <a:bodyPr/>
                  <a:lstStyle/>
                  <a:p>
                    <a:fld id="{1A8E7EF5-1C83-4B0F-BE01-73F2198EB3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9-1C81-4EF9-BE9D-64F4134B42E9}"/>
                </c:ext>
              </c:extLst>
            </c:dLbl>
            <c:dLbl>
              <c:idx val="89"/>
              <c:tx>
                <c:rich>
                  <a:bodyPr/>
                  <a:lstStyle/>
                  <a:p>
                    <a:fld id="{DFD99611-448D-44DE-A0F0-D871C14E32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A-1C81-4EF9-BE9D-64F4134B42E9}"/>
                </c:ext>
              </c:extLst>
            </c:dLbl>
            <c:dLbl>
              <c:idx val="90"/>
              <c:tx>
                <c:rich>
                  <a:bodyPr/>
                  <a:lstStyle/>
                  <a:p>
                    <a:fld id="{62F4201B-0D79-4DFB-A04A-6093D38DA21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B-1C81-4EF9-BE9D-64F4134B42E9}"/>
                </c:ext>
              </c:extLst>
            </c:dLbl>
            <c:dLbl>
              <c:idx val="91"/>
              <c:tx>
                <c:rich>
                  <a:bodyPr/>
                  <a:lstStyle/>
                  <a:p>
                    <a:fld id="{80373906-53EC-4DF4-B22A-215F761294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C-1C81-4EF9-BE9D-64F4134B42E9}"/>
                </c:ext>
              </c:extLst>
            </c:dLbl>
            <c:dLbl>
              <c:idx val="92"/>
              <c:tx>
                <c:rich>
                  <a:bodyPr/>
                  <a:lstStyle/>
                  <a:p>
                    <a:fld id="{EF21B1F5-1C09-49C5-B948-3F270D5C39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D-1C81-4EF9-BE9D-64F4134B42E9}"/>
                </c:ext>
              </c:extLst>
            </c:dLbl>
            <c:dLbl>
              <c:idx val="93"/>
              <c:tx>
                <c:rich>
                  <a:bodyPr/>
                  <a:lstStyle/>
                  <a:p>
                    <a:fld id="{1DBF136B-0881-4A4E-9CCE-A5F6D7B3C5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E-1C81-4EF9-BE9D-64F4134B42E9}"/>
                </c:ext>
              </c:extLst>
            </c:dLbl>
            <c:dLbl>
              <c:idx val="94"/>
              <c:tx>
                <c:rich>
                  <a:bodyPr/>
                  <a:lstStyle/>
                  <a:p>
                    <a:fld id="{55B30104-4E5D-43F7-BC57-E4196652E4B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5F-1C81-4EF9-BE9D-64F4134B42E9}"/>
                </c:ext>
              </c:extLst>
            </c:dLbl>
            <c:dLbl>
              <c:idx val="95"/>
              <c:tx>
                <c:rich>
                  <a:bodyPr/>
                  <a:lstStyle/>
                  <a:p>
                    <a:fld id="{2317D2E3-26F0-419D-BAC2-7AC4119FC0B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0-1C81-4EF9-BE9D-64F4134B42E9}"/>
                </c:ext>
              </c:extLst>
            </c:dLbl>
            <c:dLbl>
              <c:idx val="96"/>
              <c:tx>
                <c:rich>
                  <a:bodyPr/>
                  <a:lstStyle/>
                  <a:p>
                    <a:fld id="{5CF963F7-E4AF-49CC-97A9-6B09915B993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1-1C81-4EF9-BE9D-64F4134B42E9}"/>
                </c:ext>
              </c:extLst>
            </c:dLbl>
            <c:dLbl>
              <c:idx val="97"/>
              <c:tx>
                <c:rich>
                  <a:bodyPr/>
                  <a:lstStyle/>
                  <a:p>
                    <a:fld id="{B3D1C1A8-DBE3-44CB-B595-408D73B824B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2-1C81-4EF9-BE9D-64F4134B42E9}"/>
                </c:ext>
              </c:extLst>
            </c:dLbl>
            <c:dLbl>
              <c:idx val="98"/>
              <c:tx>
                <c:rich>
                  <a:bodyPr/>
                  <a:lstStyle/>
                  <a:p>
                    <a:fld id="{DBDFAEF2-3295-4939-88EB-45BB0358D9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3-1C81-4EF9-BE9D-64F4134B42E9}"/>
                </c:ext>
              </c:extLst>
            </c:dLbl>
            <c:dLbl>
              <c:idx val="99"/>
              <c:layout>
                <c:manualLayout>
                  <c:x val="-1.454016721192507E-3"/>
                  <c:y val="-3.1500204582848314E-17"/>
                </c:manualLayout>
              </c:layout>
              <c:tx>
                <c:rich>
                  <a:bodyPr/>
                  <a:lstStyle/>
                  <a:p>
                    <a:fld id="{080E23F4-C259-4736-A8C2-51D1E1360E1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64-1C81-4EF9-BE9D-64F4134B42E9}"/>
                </c:ext>
              </c:extLst>
            </c:dLbl>
            <c:dLbl>
              <c:idx val="100"/>
              <c:tx>
                <c:rich>
                  <a:bodyPr/>
                  <a:lstStyle/>
                  <a:p>
                    <a:fld id="{7317F794-AF1D-4D80-B39C-9EC7559F415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5-1C81-4EF9-BE9D-64F4134B42E9}"/>
                </c:ext>
              </c:extLst>
            </c:dLbl>
            <c:dLbl>
              <c:idx val="101"/>
              <c:tx>
                <c:rich>
                  <a:bodyPr/>
                  <a:lstStyle/>
                  <a:p>
                    <a:fld id="{919CD151-E329-4EC3-94A0-BA23BDCA90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6-1C81-4EF9-BE9D-64F4134B42E9}"/>
                </c:ext>
              </c:extLst>
            </c:dLbl>
            <c:dLbl>
              <c:idx val="102"/>
              <c:tx>
                <c:rich>
                  <a:bodyPr/>
                  <a:lstStyle/>
                  <a:p>
                    <a:fld id="{8F9518F7-DEF8-4267-AFC8-FC62C3B3BE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67-1C81-4EF9-BE9D-64F4134B42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5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Data!$N$2:$N$104</c:f>
              <c:strCache>
                <c:ptCount val="103"/>
                <c:pt idx="0">
                  <c:v>1-Communication Services</c:v>
                </c:pt>
                <c:pt idx="1">
                  <c:v>2-Communication Services</c:v>
                </c:pt>
                <c:pt idx="2">
                  <c:v>3-Communication Services</c:v>
                </c:pt>
                <c:pt idx="3">
                  <c:v>4-Communication Services</c:v>
                </c:pt>
                <c:pt idx="4">
                  <c:v>5-Communication Services</c:v>
                </c:pt>
                <c:pt idx="5">
                  <c:v>6-Communication Services</c:v>
                </c:pt>
                <c:pt idx="6">
                  <c:v>7-Communication Services</c:v>
                </c:pt>
                <c:pt idx="7">
                  <c:v>8-Communication Services</c:v>
                </c:pt>
                <c:pt idx="8">
                  <c:v>9-Communication Services</c:v>
                </c:pt>
                <c:pt idx="9">
                  <c:v>1-Consumer Discretionary</c:v>
                </c:pt>
                <c:pt idx="10">
                  <c:v>2-Consumer Discretionary</c:v>
                </c:pt>
                <c:pt idx="11">
                  <c:v>3-Consumer Discretionary</c:v>
                </c:pt>
                <c:pt idx="12">
                  <c:v>4-Consumer Discretionary</c:v>
                </c:pt>
                <c:pt idx="13">
                  <c:v>5-Consumer Discretionary</c:v>
                </c:pt>
                <c:pt idx="14">
                  <c:v>6-Consumer Discretionary</c:v>
                </c:pt>
                <c:pt idx="15">
                  <c:v>7-Consumer Discretionary</c:v>
                </c:pt>
                <c:pt idx="16">
                  <c:v>8-Consumer Discretionary</c:v>
                </c:pt>
                <c:pt idx="17">
                  <c:v>9-Consumer Discretionary</c:v>
                </c:pt>
                <c:pt idx="18">
                  <c:v>10-Consumer Discretionary</c:v>
                </c:pt>
                <c:pt idx="19">
                  <c:v>11-Consumer Discretionary</c:v>
                </c:pt>
                <c:pt idx="20">
                  <c:v>12-Consumer Discretionary</c:v>
                </c:pt>
                <c:pt idx="21">
                  <c:v>13-Consumer Discretionary</c:v>
                </c:pt>
                <c:pt idx="22">
                  <c:v>1-Consumer Staples</c:v>
                </c:pt>
                <c:pt idx="23">
                  <c:v>2-Consumer Staples</c:v>
                </c:pt>
                <c:pt idx="24">
                  <c:v>3-Consumer Staples</c:v>
                </c:pt>
                <c:pt idx="25">
                  <c:v>4-Consumer Staples</c:v>
                </c:pt>
                <c:pt idx="26">
                  <c:v>5-Consumer Staples</c:v>
                </c:pt>
                <c:pt idx="27">
                  <c:v>6-Consumer Staples</c:v>
                </c:pt>
                <c:pt idx="28">
                  <c:v>7-Consumer Staples</c:v>
                </c:pt>
                <c:pt idx="29">
                  <c:v>8-Consumer Staples</c:v>
                </c:pt>
                <c:pt idx="30">
                  <c:v>9-Consumer Staples</c:v>
                </c:pt>
                <c:pt idx="31">
                  <c:v>10-Consumer Staples</c:v>
                </c:pt>
                <c:pt idx="32">
                  <c:v>1-Energy</c:v>
                </c:pt>
                <c:pt idx="33">
                  <c:v>2-Energy</c:v>
                </c:pt>
                <c:pt idx="34">
                  <c:v>1-Financials</c:v>
                </c:pt>
                <c:pt idx="35">
                  <c:v>1-Health Care</c:v>
                </c:pt>
                <c:pt idx="36">
                  <c:v>2-Health Care</c:v>
                </c:pt>
                <c:pt idx="37">
                  <c:v>3-Health Care</c:v>
                </c:pt>
                <c:pt idx="38">
                  <c:v>4-Health Care</c:v>
                </c:pt>
                <c:pt idx="39">
                  <c:v>5-Health Care</c:v>
                </c:pt>
                <c:pt idx="40">
                  <c:v>6-Health Care</c:v>
                </c:pt>
                <c:pt idx="41">
                  <c:v>7-Health Care</c:v>
                </c:pt>
                <c:pt idx="42">
                  <c:v>8-Health Care</c:v>
                </c:pt>
                <c:pt idx="43">
                  <c:v>9-Health Care</c:v>
                </c:pt>
                <c:pt idx="44">
                  <c:v>10-Health Care</c:v>
                </c:pt>
                <c:pt idx="45">
                  <c:v>11-Health Care</c:v>
                </c:pt>
                <c:pt idx="46">
                  <c:v>12-Health Care</c:v>
                </c:pt>
                <c:pt idx="47">
                  <c:v>1-Industrials</c:v>
                </c:pt>
                <c:pt idx="48">
                  <c:v>2-Industrials</c:v>
                </c:pt>
                <c:pt idx="49">
                  <c:v>3-Industrials</c:v>
                </c:pt>
                <c:pt idx="50">
                  <c:v>4-Industrials</c:v>
                </c:pt>
                <c:pt idx="51">
                  <c:v>5-Industrials</c:v>
                </c:pt>
                <c:pt idx="52">
                  <c:v>6-Industrials</c:v>
                </c:pt>
                <c:pt idx="53">
                  <c:v>7-Industrials</c:v>
                </c:pt>
                <c:pt idx="54">
                  <c:v>8-Industrials</c:v>
                </c:pt>
                <c:pt idx="55">
                  <c:v>9-Industrials</c:v>
                </c:pt>
                <c:pt idx="56">
                  <c:v>1-Information Technology</c:v>
                </c:pt>
                <c:pt idx="57">
                  <c:v>2-Information Technology</c:v>
                </c:pt>
                <c:pt idx="58">
                  <c:v>3-Information Technology</c:v>
                </c:pt>
                <c:pt idx="59">
                  <c:v>4-Information Technology</c:v>
                </c:pt>
                <c:pt idx="60">
                  <c:v>5-Information Technology</c:v>
                </c:pt>
                <c:pt idx="61">
                  <c:v>6-Information Technology</c:v>
                </c:pt>
                <c:pt idx="62">
                  <c:v>7-Information Technology</c:v>
                </c:pt>
                <c:pt idx="63">
                  <c:v>8-Information Technology</c:v>
                </c:pt>
                <c:pt idx="64">
                  <c:v>9-Information Technology</c:v>
                </c:pt>
                <c:pt idx="65">
                  <c:v>10-Information Technology</c:v>
                </c:pt>
                <c:pt idx="66">
                  <c:v>11-Information Technology</c:v>
                </c:pt>
                <c:pt idx="67">
                  <c:v>12-Information Technology</c:v>
                </c:pt>
                <c:pt idx="68">
                  <c:v>13-Information Technology</c:v>
                </c:pt>
                <c:pt idx="69">
                  <c:v>14-Information Technology</c:v>
                </c:pt>
                <c:pt idx="70">
                  <c:v>15-Information Technology</c:v>
                </c:pt>
                <c:pt idx="71">
                  <c:v>16-Information Technology</c:v>
                </c:pt>
                <c:pt idx="72">
                  <c:v>17-Information Technology</c:v>
                </c:pt>
                <c:pt idx="73">
                  <c:v>18-Information Technology</c:v>
                </c:pt>
                <c:pt idx="74">
                  <c:v>19-Information Technology</c:v>
                </c:pt>
                <c:pt idx="75">
                  <c:v>20-Information Technology</c:v>
                </c:pt>
                <c:pt idx="76">
                  <c:v>21-Information Technology</c:v>
                </c:pt>
                <c:pt idx="77">
                  <c:v>22-Information Technology</c:v>
                </c:pt>
                <c:pt idx="78">
                  <c:v>23-Information Technology</c:v>
                </c:pt>
                <c:pt idx="79">
                  <c:v>24-Information Technology</c:v>
                </c:pt>
                <c:pt idx="80">
                  <c:v>25-Information Technology</c:v>
                </c:pt>
                <c:pt idx="81">
                  <c:v>26-Information Technology</c:v>
                </c:pt>
                <c:pt idx="82">
                  <c:v>27-Information Technology</c:v>
                </c:pt>
                <c:pt idx="83">
                  <c:v>28-Information Technology</c:v>
                </c:pt>
                <c:pt idx="84">
                  <c:v>29-Information Technology</c:v>
                </c:pt>
                <c:pt idx="85">
                  <c:v>30-Information Technology</c:v>
                </c:pt>
                <c:pt idx="86">
                  <c:v>31-Information Technology</c:v>
                </c:pt>
                <c:pt idx="87">
                  <c:v>32-Information Technology</c:v>
                </c:pt>
                <c:pt idx="88">
                  <c:v>33-Information Technology</c:v>
                </c:pt>
                <c:pt idx="89">
                  <c:v>34-Information Technology</c:v>
                </c:pt>
                <c:pt idx="90">
                  <c:v>35-Information Technology</c:v>
                </c:pt>
                <c:pt idx="91">
                  <c:v>36-Information Technology</c:v>
                </c:pt>
                <c:pt idx="92">
                  <c:v>37-Information Technology</c:v>
                </c:pt>
                <c:pt idx="93">
                  <c:v>38-Information Technology</c:v>
                </c:pt>
                <c:pt idx="94">
                  <c:v>39-Information Technology</c:v>
                </c:pt>
                <c:pt idx="95">
                  <c:v>40-Information Technology</c:v>
                </c:pt>
                <c:pt idx="96">
                  <c:v>1-Materials</c:v>
                </c:pt>
                <c:pt idx="97">
                  <c:v>1-Real Estate</c:v>
                </c:pt>
                <c:pt idx="98">
                  <c:v>2-Real Estate</c:v>
                </c:pt>
                <c:pt idx="99">
                  <c:v>1-Utilities</c:v>
                </c:pt>
                <c:pt idx="100">
                  <c:v>2-Utilities</c:v>
                </c:pt>
                <c:pt idx="101">
                  <c:v>3-Utilities</c:v>
                </c:pt>
                <c:pt idx="102">
                  <c:v>4-Utilities</c:v>
                </c:pt>
              </c:strCache>
            </c:strRef>
          </c:cat>
          <c:val>
            <c:numRef>
              <c:f>Data!$P$2:$P$104</c:f>
              <c:numCache>
                <c:formatCode>0.00%</c:formatCode>
                <c:ptCount val="10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Data!$Q$2:$Q$104</c15:f>
                <c15:dlblRangeCache>
                  <c:ptCount val="103"/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#N/A</c:v>
                  </c:pt>
                  <c:pt idx="13">
                    <c:v>#N/A</c:v>
                  </c:pt>
                  <c:pt idx="14">
                    <c:v>#N/A</c:v>
                  </c:pt>
                  <c:pt idx="15">
                    <c:v>#N/A</c:v>
                  </c:pt>
                  <c:pt idx="16">
                    <c:v>#N/A</c:v>
                  </c:pt>
                  <c:pt idx="17">
                    <c:v>#N/A</c:v>
                  </c:pt>
                  <c:pt idx="18">
                    <c:v>#N/A</c:v>
                  </c:pt>
                  <c:pt idx="19">
                    <c:v>#N/A</c:v>
                  </c:pt>
                  <c:pt idx="20">
                    <c:v>#N/A</c:v>
                  </c:pt>
                  <c:pt idx="21">
                    <c:v>#N/A</c:v>
                  </c:pt>
                  <c:pt idx="22">
                    <c:v>#N/A</c:v>
                  </c:pt>
                  <c:pt idx="23">
                    <c:v>#N/A</c:v>
                  </c:pt>
                  <c:pt idx="24">
                    <c:v>#N/A</c:v>
                  </c:pt>
                  <c:pt idx="25">
                    <c:v>#N/A</c:v>
                  </c:pt>
                  <c:pt idx="26">
                    <c:v>#N/A</c:v>
                  </c:pt>
                  <c:pt idx="27">
                    <c:v>#N/A</c:v>
                  </c:pt>
                  <c:pt idx="28">
                    <c:v>#N/A</c:v>
                  </c:pt>
                  <c:pt idx="29">
                    <c:v>#N/A</c:v>
                  </c:pt>
                  <c:pt idx="30">
                    <c:v>#N/A</c:v>
                  </c:pt>
                  <c:pt idx="31">
                    <c:v>#N/A</c:v>
                  </c:pt>
                  <c:pt idx="32">
                    <c:v>#N/A</c:v>
                  </c:pt>
                  <c:pt idx="33">
                    <c:v>#N/A</c:v>
                  </c:pt>
                  <c:pt idx="34">
                    <c:v>#N/A</c:v>
                  </c:pt>
                  <c:pt idx="35">
                    <c:v>#N/A</c:v>
                  </c:pt>
                  <c:pt idx="36">
                    <c:v>#N/A</c:v>
                  </c:pt>
                  <c:pt idx="37">
                    <c:v>#N/A</c:v>
                  </c:pt>
                  <c:pt idx="38">
                    <c:v>#N/A</c:v>
                  </c:pt>
                  <c:pt idx="39">
                    <c:v>#N/A</c:v>
                  </c:pt>
                  <c:pt idx="40">
                    <c:v>#N/A</c:v>
                  </c:pt>
                  <c:pt idx="41">
                    <c:v>#N/A</c:v>
                  </c:pt>
                  <c:pt idx="42">
                    <c:v>#N/A</c:v>
                  </c:pt>
                  <c:pt idx="43">
                    <c:v>#N/A</c:v>
                  </c:pt>
                  <c:pt idx="44">
                    <c:v>#N/A</c:v>
                  </c:pt>
                  <c:pt idx="45">
                    <c:v>#N/A</c:v>
                  </c:pt>
                  <c:pt idx="46">
                    <c:v>#N/A</c:v>
                  </c:pt>
                  <c:pt idx="47">
                    <c:v>#N/A</c:v>
                  </c:pt>
                  <c:pt idx="48">
                    <c:v>#N/A</c:v>
                  </c:pt>
                  <c:pt idx="49">
                    <c:v>#N/A</c:v>
                  </c:pt>
                  <c:pt idx="50">
                    <c:v>#N/A</c:v>
                  </c:pt>
                  <c:pt idx="51">
                    <c:v>#N/A</c:v>
                  </c:pt>
                  <c:pt idx="52">
                    <c:v>#N/A</c:v>
                  </c:pt>
                  <c:pt idx="53">
                    <c:v>#N/A</c:v>
                  </c:pt>
                  <c:pt idx="54">
                    <c:v>#N/A</c:v>
                  </c:pt>
                  <c:pt idx="55">
                    <c:v>#N/A</c:v>
                  </c:pt>
                  <c:pt idx="56">
                    <c:v>#N/A</c:v>
                  </c:pt>
                  <c:pt idx="57">
                    <c:v>#N/A</c:v>
                  </c:pt>
                  <c:pt idx="58">
                    <c:v>#N/A</c:v>
                  </c:pt>
                  <c:pt idx="59">
                    <c:v>#N/A</c:v>
                  </c:pt>
                  <c:pt idx="60">
                    <c:v>#N/A</c:v>
                  </c:pt>
                  <c:pt idx="61">
                    <c:v>#N/A</c:v>
                  </c:pt>
                  <c:pt idx="62">
                    <c:v>#N/A</c:v>
                  </c:pt>
                  <c:pt idx="63">
                    <c:v>#N/A</c:v>
                  </c:pt>
                  <c:pt idx="64">
                    <c:v>#N/A</c:v>
                  </c:pt>
                  <c:pt idx="65">
                    <c:v>#N/A</c:v>
                  </c:pt>
                  <c:pt idx="66">
                    <c:v>#N/A</c:v>
                  </c:pt>
                  <c:pt idx="67">
                    <c:v>#N/A</c:v>
                  </c:pt>
                  <c:pt idx="68">
                    <c:v>#N/A</c:v>
                  </c:pt>
                  <c:pt idx="69">
                    <c:v>#N/A</c:v>
                  </c:pt>
                  <c:pt idx="70">
                    <c:v>#N/A</c:v>
                  </c:pt>
                  <c:pt idx="71">
                    <c:v>#N/A</c:v>
                  </c:pt>
                  <c:pt idx="72">
                    <c:v>#N/A</c:v>
                  </c:pt>
                  <c:pt idx="73">
                    <c:v>#N/A</c:v>
                  </c:pt>
                  <c:pt idx="74">
                    <c:v>#N/A</c:v>
                  </c:pt>
                  <c:pt idx="75">
                    <c:v>#N/A</c:v>
                  </c:pt>
                  <c:pt idx="76">
                    <c:v>#N/A</c:v>
                  </c:pt>
                  <c:pt idx="77">
                    <c:v>#N/A</c:v>
                  </c:pt>
                  <c:pt idx="78">
                    <c:v>#N/A</c:v>
                  </c:pt>
                  <c:pt idx="79">
                    <c:v>#N/A</c:v>
                  </c:pt>
                  <c:pt idx="80">
                    <c:v>#N/A</c:v>
                  </c:pt>
                  <c:pt idx="81">
                    <c:v>#N/A</c:v>
                  </c:pt>
                  <c:pt idx="82">
                    <c:v>#N/A</c:v>
                  </c:pt>
                  <c:pt idx="83">
                    <c:v>#N/A</c:v>
                  </c:pt>
                  <c:pt idx="84">
                    <c:v>#N/A</c:v>
                  </c:pt>
                  <c:pt idx="85">
                    <c:v>#N/A</c:v>
                  </c:pt>
                  <c:pt idx="86">
                    <c:v>#N/A</c:v>
                  </c:pt>
                  <c:pt idx="87">
                    <c:v>#N/A</c:v>
                  </c:pt>
                  <c:pt idx="88">
                    <c:v>#N/A</c:v>
                  </c:pt>
                  <c:pt idx="89">
                    <c:v>#N/A</c:v>
                  </c:pt>
                  <c:pt idx="90">
                    <c:v>#N/A</c:v>
                  </c:pt>
                  <c:pt idx="91">
                    <c:v>#N/A</c:v>
                  </c:pt>
                  <c:pt idx="92">
                    <c:v>#N/A</c:v>
                  </c:pt>
                  <c:pt idx="93">
                    <c:v>#N/A</c:v>
                  </c:pt>
                  <c:pt idx="94">
                    <c:v>#N/A</c:v>
                  </c:pt>
                  <c:pt idx="95">
                    <c:v>#N/A</c:v>
                  </c:pt>
                  <c:pt idx="96">
                    <c:v>#N/A</c:v>
                  </c:pt>
                  <c:pt idx="97">
                    <c:v>#N/A</c:v>
                  </c:pt>
                  <c:pt idx="98">
                    <c:v>#N/A</c:v>
                  </c:pt>
                  <c:pt idx="99">
                    <c:v>#N/A</c:v>
                  </c:pt>
                  <c:pt idx="100">
                    <c:v>#N/A</c:v>
                  </c:pt>
                  <c:pt idx="101">
                    <c:v>#N/A</c:v>
                  </c:pt>
                  <c:pt idx="102">
                    <c:v>#N/A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C81-4EF9-BE9D-64F4134B4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0"/>
        <c:axId val="2061643408"/>
        <c:axId val="2061639088"/>
      </c:barChart>
      <c:catAx>
        <c:axId val="206164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1639088"/>
        <c:crosses val="autoZero"/>
        <c:auto val="1"/>
        <c:lblAlgn val="ctr"/>
        <c:lblOffset val="100"/>
        <c:noMultiLvlLbl val="0"/>
      </c:catAx>
      <c:valAx>
        <c:axId val="206163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164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1587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47624</xdr:rowOff>
    </xdr:from>
    <xdr:to>
      <xdr:col>26</xdr:col>
      <xdr:colOff>142875</xdr:colOff>
      <xdr:row>35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F191D8-15ED-423C-8CAD-640B027B0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C60A-687C-4A9A-AF7A-70574D55D0C5}">
  <dimension ref="B37:Y47"/>
  <sheetViews>
    <sheetView showRowColHeaders="0" tabSelected="1" workbookViewId="0">
      <selection activeCell="Q55" sqref="Q55"/>
    </sheetView>
  </sheetViews>
  <sheetFormatPr defaultRowHeight="16.5" x14ac:dyDescent="0.3"/>
  <cols>
    <col min="1" max="16384" width="9" style="3"/>
  </cols>
  <sheetData>
    <row r="37" spans="2:25" x14ac:dyDescent="0.3">
      <c r="B37" s="4" t="s">
        <v>127</v>
      </c>
      <c r="C37" s="8" t="str">
        <f>RTD("cqg.rtd", ,"ContractData",B37, "LongDescription",, "T")</f>
        <v>NASDAQ-100 Index</v>
      </c>
      <c r="D37" s="8"/>
      <c r="E37" s="8"/>
      <c r="G37" s="4" t="s">
        <v>129</v>
      </c>
      <c r="H37" s="8" t="str">
        <f>TRIM(_xlfn.REGEXREPLACE(RTD("cqg.rtd", ,"ContractData",G37, "LongDescription",, "T"), "\b(Select|Sector|SPDR|SectorSPDR|Fund)\b", ""))</f>
        <v>Consumer Staples</v>
      </c>
      <c r="I37" s="8"/>
      <c r="J37" s="8"/>
      <c r="L37" s="4" t="s">
        <v>131</v>
      </c>
      <c r="M37" s="8" t="str">
        <f>TRIM(_xlfn.REGEXREPLACE(RTD("cqg.rtd", ,"ContractData",L37, "LongDescription",, "T"), "\b(Select|Sector|SPDR|SectorSPDR|Fund)\b", ""))</f>
        <v>Financial</v>
      </c>
      <c r="N37" s="8"/>
      <c r="O37" s="8"/>
      <c r="Q37" s="4" t="s">
        <v>133</v>
      </c>
      <c r="R37" s="8" t="str">
        <f>TRIM(_xlfn.REGEXREPLACE(RTD("cqg.rtd", ,"ContractData",Q37, "LongDescription",, "T"), "\b(Select|Sector|SPDR|SectorSPDR|Fund)\b", ""))</f>
        <v>Industrial</v>
      </c>
      <c r="S37" s="8"/>
      <c r="T37" s="8"/>
      <c r="V37" s="4" t="s">
        <v>135</v>
      </c>
      <c r="W37" s="8" t="str">
        <f>TRIM(_xlfn.REGEXREPLACE(RTD("cqg.rtd", ,"ContractData",V37, "LongDescription",, "T"), "\b(Select|Sector|SPDR|SectorSPDR|Fund)\b", ""))</f>
        <v>Materials</v>
      </c>
      <c r="X37" s="8"/>
      <c r="Y37" s="8"/>
    </row>
    <row r="38" spans="2:25" x14ac:dyDescent="0.3">
      <c r="B38" s="4" t="s">
        <v>123</v>
      </c>
      <c r="C38" s="4" t="s">
        <v>124</v>
      </c>
      <c r="D38" s="4" t="s">
        <v>125</v>
      </c>
      <c r="E38" s="4" t="s">
        <v>126</v>
      </c>
      <c r="G38" s="4" t="s">
        <v>123</v>
      </c>
      <c r="H38" s="4" t="s">
        <v>124</v>
      </c>
      <c r="I38" s="4" t="s">
        <v>125</v>
      </c>
      <c r="J38" s="4" t="s">
        <v>126</v>
      </c>
      <c r="L38" s="4" t="s">
        <v>123</v>
      </c>
      <c r="M38" s="4" t="s">
        <v>124</v>
      </c>
      <c r="N38" s="4" t="s">
        <v>125</v>
      </c>
      <c r="O38" s="4" t="s">
        <v>126</v>
      </c>
      <c r="Q38" s="4" t="s">
        <v>123</v>
      </c>
      <c r="R38" s="4" t="s">
        <v>124</v>
      </c>
      <c r="S38" s="4" t="s">
        <v>125</v>
      </c>
      <c r="T38" s="4" t="s">
        <v>126</v>
      </c>
      <c r="V38" s="4" t="s">
        <v>123</v>
      </c>
      <c r="W38" s="4" t="s">
        <v>124</v>
      </c>
      <c r="X38" s="4" t="s">
        <v>125</v>
      </c>
      <c r="Y38" s="4" t="s">
        <v>126</v>
      </c>
    </row>
    <row r="39" spans="2:25" x14ac:dyDescent="0.3">
      <c r="B39" s="5" t="str">
        <f>RTD("cqg.rtd", ,"ContractData",B37, "Open",, "T")</f>
        <v/>
      </c>
      <c r="C39" s="5" t="str">
        <f>RTD("cqg.rtd", ,"ContractData",B37, "High",, "T")</f>
        <v/>
      </c>
      <c r="D39" s="5" t="str">
        <f>RTD("cqg.rtd", ,"ContractData",B37, "Low",, "T")</f>
        <v/>
      </c>
      <c r="E39" s="5" t="str">
        <f>RTD("cqg.rtd", ,"ContractData",B37, "Last",, "T")</f>
        <v/>
      </c>
      <c r="G39" s="5" t="str">
        <f>RTD("cqg.rtd", ,"ContractData",G37, "Open",, "T")</f>
        <v/>
      </c>
      <c r="H39" s="5" t="str">
        <f>RTD("cqg.rtd", ,"ContractData",G37, "High",, "T")</f>
        <v/>
      </c>
      <c r="I39" s="5" t="str">
        <f>RTD("cqg.rtd", ,"ContractData",G37, "Low",, "T")</f>
        <v/>
      </c>
      <c r="J39" s="5">
        <f>RTD("cqg.rtd", ,"ContractData",G37, "Last",, "T")</f>
        <v>83.16</v>
      </c>
      <c r="L39" s="5" t="str">
        <f>RTD("cqg.rtd", ,"ContractData",L37, "Open",, "T")</f>
        <v/>
      </c>
      <c r="M39" s="5" t="str">
        <f>RTD("cqg.rtd", ,"ContractData",L37, "High",, "T")</f>
        <v/>
      </c>
      <c r="N39" s="5" t="str">
        <f>RTD("cqg.rtd", ,"ContractData",L37, "Low",, "T")</f>
        <v/>
      </c>
      <c r="O39" s="5">
        <f>RTD("cqg.rtd", ,"ContractData",L37, "Last",, "T")</f>
        <v>51.22</v>
      </c>
      <c r="Q39" s="5" t="str">
        <f>RTD("cqg.rtd", ,"ContractData",Q37, "Open",, "T")</f>
        <v/>
      </c>
      <c r="R39" s="5" t="str">
        <f>RTD("cqg.rtd", ,"ContractData",Q37, "High",, "T")</f>
        <v/>
      </c>
      <c r="S39" s="5" t="str">
        <f>RTD("cqg.rtd", ,"ContractData",Q37, "Low",, "T")</f>
        <v/>
      </c>
      <c r="T39" s="5">
        <f>RTD("cqg.rtd", ,"ContractData",Q37, "Last",, "T")</f>
        <v>172.20000000000002</v>
      </c>
      <c r="V39" s="5" t="str">
        <f>RTD("cqg.rtd", ,"ContractData",V37, "Open",, "T")</f>
        <v/>
      </c>
      <c r="W39" s="5" t="str">
        <f>RTD("cqg.rtd", ,"ContractData",V37, "High",, "T")</f>
        <v/>
      </c>
      <c r="X39" s="5" t="str">
        <f>RTD("cqg.rtd", ,"ContractData",V37, "Low",, "T")</f>
        <v/>
      </c>
      <c r="Y39" s="5">
        <f>RTD("cqg.rtd", ,"ContractData",V37, "Last",, "T")</f>
        <v>51.68</v>
      </c>
    </row>
    <row r="40" spans="2:25" ht="8.1" customHeight="1" x14ac:dyDescent="0.3"/>
    <row r="41" spans="2:25" x14ac:dyDescent="0.3">
      <c r="B41" s="4" t="s">
        <v>128</v>
      </c>
      <c r="C41" s="8" t="str">
        <f>TRIM(_xlfn.REGEXREPLACE(RTD("cqg.rtd", ,"ContractData",B41, "LongDescription",, "T"), "\b(Select|Sector|SPDR|SectorSPDR|Fund)\b", ""))</f>
        <v>Communication Services</v>
      </c>
      <c r="D41" s="8"/>
      <c r="E41" s="8"/>
      <c r="G41" s="4" t="s">
        <v>130</v>
      </c>
      <c r="H41" s="8" t="str">
        <f>TRIM(_xlfn.REGEXREPLACE(RTD("cqg.rtd", ,"ContractData",G41, "LongDescription",, "T"), "\b(Select|Sector|SPDR|SectorSPDR|Fund)\b", ""))</f>
        <v>Energy</v>
      </c>
      <c r="I41" s="8"/>
      <c r="J41" s="8"/>
      <c r="L41" s="4" t="s">
        <v>132</v>
      </c>
      <c r="M41" s="8" t="str">
        <f>TRIM(_xlfn.REGEXREPLACE(RTD("cqg.rtd", ,"ContractData",L41, "LongDescription",, "T"), "\b(Select|Sector|SPDR|SectorSPDR|Fund)\b", ""))</f>
        <v>Health Care</v>
      </c>
      <c r="N41" s="8"/>
      <c r="O41" s="8"/>
      <c r="Q41" s="4" t="s">
        <v>134</v>
      </c>
      <c r="R41" s="8" t="str">
        <f>TRIM(_xlfn.REGEXREPLACE(RTD("cqg.rtd", ,"ContractData",Q41, "LongDescription",, "T"), "\b(Select|Sector|SPDR|SectorSPDR|Fund)\b", ""))</f>
        <v>Technology</v>
      </c>
      <c r="S41" s="8"/>
      <c r="T41" s="8"/>
      <c r="V41" s="4" t="s">
        <v>136</v>
      </c>
      <c r="W41" s="8" t="str">
        <f>TRIM(_xlfn.REGEXREPLACE(RTD("cqg.rtd", ,"ContractData",V41, "LongDescription",, "T"), "\b(Select|Sector|SPDR|SectorSPDR|Fund)\b", ""))</f>
        <v>Real Estate</v>
      </c>
      <c r="X41" s="8"/>
      <c r="Y41" s="8"/>
    </row>
    <row r="42" spans="2:25" x14ac:dyDescent="0.3">
      <c r="B42" s="4" t="s">
        <v>123</v>
      </c>
      <c r="C42" s="4" t="s">
        <v>124</v>
      </c>
      <c r="D42" s="4" t="s">
        <v>125</v>
      </c>
      <c r="E42" s="4" t="s">
        <v>126</v>
      </c>
      <c r="G42" s="4" t="s">
        <v>123</v>
      </c>
      <c r="H42" s="4" t="s">
        <v>124</v>
      </c>
      <c r="I42" s="4" t="s">
        <v>125</v>
      </c>
      <c r="J42" s="4" t="s">
        <v>126</v>
      </c>
      <c r="L42" s="4" t="s">
        <v>123</v>
      </c>
      <c r="M42" s="4" t="s">
        <v>124</v>
      </c>
      <c r="N42" s="4" t="s">
        <v>125</v>
      </c>
      <c r="O42" s="4" t="s">
        <v>126</v>
      </c>
      <c r="Q42" s="4" t="s">
        <v>123</v>
      </c>
      <c r="R42" s="4" t="s">
        <v>124</v>
      </c>
      <c r="S42" s="4" t="s">
        <v>125</v>
      </c>
      <c r="T42" s="4" t="s">
        <v>126</v>
      </c>
      <c r="V42" s="4" t="s">
        <v>123</v>
      </c>
      <c r="W42" s="4" t="s">
        <v>124</v>
      </c>
      <c r="X42" s="4" t="s">
        <v>125</v>
      </c>
      <c r="Y42" s="4" t="s">
        <v>126</v>
      </c>
    </row>
    <row r="43" spans="2:25" x14ac:dyDescent="0.3">
      <c r="B43" s="5" t="str">
        <f>RTD("cqg.rtd", ,"ContractData",B41, "Open",, "T")</f>
        <v/>
      </c>
      <c r="C43" s="5" t="str">
        <f>RTD("cqg.rtd", ,"ContractData",B41, "High",, "T")</f>
        <v/>
      </c>
      <c r="D43" s="5" t="str">
        <f>RTD("cqg.rtd", ,"ContractData",B41, "Low",, "T")</f>
        <v/>
      </c>
      <c r="E43" s="5">
        <f>RTD("cqg.rtd", ,"ContractData",B41, "Last",, "T")</f>
        <v>114.71000000000001</v>
      </c>
      <c r="G43" s="5" t="str">
        <f>RTD("cqg.rtd", ,"ContractData",G41, "Open",, "T")</f>
        <v/>
      </c>
      <c r="H43" s="5" t="str">
        <f>RTD("cqg.rtd", ,"ContractData",G41, "High",, "T")</f>
        <v/>
      </c>
      <c r="I43" s="5" t="str">
        <f>RTD("cqg.rtd", ,"ContractData",G41, "Low",, "T")</f>
        <v/>
      </c>
      <c r="J43" s="5">
        <f>RTD("cqg.rtd", ,"ContractData",G41, "Last",, "T")</f>
        <v>57.32</v>
      </c>
      <c r="L43" s="5" t="str">
        <f>RTD("cqg.rtd", ,"ContractData",L41, "Open",, "T")</f>
        <v/>
      </c>
      <c r="M43" s="5" t="str">
        <f>RTD("cqg.rtd", ,"ContractData",L41, "High",, "T")</f>
        <v/>
      </c>
      <c r="N43" s="5" t="str">
        <f>RTD("cqg.rtd", ,"ContractData",L41, "Low",, "T")</f>
        <v/>
      </c>
      <c r="O43" s="5">
        <f>RTD("cqg.rtd", ,"ContractData",L41, "Last",, "T")</f>
        <v>149.08000000000001</v>
      </c>
      <c r="Q43" s="5" t="str">
        <f>RTD("cqg.rtd", ,"ContractData",Q41, "Open",, "T")</f>
        <v/>
      </c>
      <c r="R43" s="5" t="str">
        <f>RTD("cqg.rtd", ,"ContractData",Q41, "High",, "T")</f>
        <v/>
      </c>
      <c r="S43" s="5" t="str">
        <f>RTD("cqg.rtd", ,"ContractData",Q41, "Low",, "T")</f>
        <v/>
      </c>
      <c r="T43" s="5">
        <f>RTD("cqg.rtd", ,"ContractData",Q41, "Last",, "T")</f>
        <v>142.46</v>
      </c>
      <c r="V43" s="5" t="str">
        <f>RTD("cqg.rtd", ,"ContractData",V41, "Open",, "T")</f>
        <v/>
      </c>
      <c r="W43" s="5" t="str">
        <f>RTD("cqg.rtd", ,"ContractData",V41, "High",, "T")</f>
        <v/>
      </c>
      <c r="X43" s="5" t="str">
        <f>RTD("cqg.rtd", ,"ContractData",V41, "Low",, "T")</f>
        <v/>
      </c>
      <c r="Y43" s="5">
        <f>RTD("cqg.rtd", ,"ContractData",V41, "Last",, "T")</f>
        <v>42.87</v>
      </c>
    </row>
    <row r="44" spans="2:25" ht="8.1" customHeight="1" x14ac:dyDescent="0.3"/>
    <row r="45" spans="2:25" x14ac:dyDescent="0.3">
      <c r="B45" s="4" t="s">
        <v>137</v>
      </c>
      <c r="C45" s="8" t="str">
        <f>TRIM(_xlfn.REGEXREPLACE(RTD("cqg.rtd", ,"ContractData",B45, "LongDescription",, "T"), "\b(Select|Sector|SPDR|SectorSPDR|Fund)\b", ""))</f>
        <v>Utilities</v>
      </c>
      <c r="D45" s="8"/>
      <c r="E45" s="8"/>
      <c r="G45" s="4" t="s">
        <v>138</v>
      </c>
      <c r="H45" s="8" t="str">
        <f>TRIM(_xlfn.REGEXREPLACE(RTD("cqg.rtd", ,"ContractData",G45, "LongDescription",, "T"), "\b(Select|Sector|SPDR|SectorSPDR|Fund)\b", ""))</f>
        <v>DJ Industrial Average</v>
      </c>
      <c r="I45" s="8"/>
      <c r="J45" s="8"/>
      <c r="L45" s="4" t="s">
        <v>139</v>
      </c>
      <c r="M45" s="8" t="str">
        <f>TRIM(_xlfn.REGEXREPLACE(RTD("cqg.rtd", ,"ContractData",L45, "LongDescription",, "T"), "\b(Select|Sector|SPDR|SectorSPDR|Fund)\b", ""))</f>
        <v>S&amp;P 500</v>
      </c>
      <c r="N45" s="8"/>
      <c r="O45" s="8"/>
      <c r="Q45" s="4" t="s">
        <v>139</v>
      </c>
      <c r="R45" s="8" t="str">
        <f>TRIM(_xlfn.REGEXREPLACE(RTD("cqg.rtd", ,"ContractData",Q45, "LongDescription",, "T"), "\b(Select|Sector|SPDR|SectorSPDR|Fund)\b", ""))</f>
        <v>S&amp;P 500</v>
      </c>
      <c r="S45" s="8"/>
      <c r="T45" s="8"/>
      <c r="V45" s="4" t="s">
        <v>122</v>
      </c>
      <c r="W45" s="8" t="str">
        <f>TRIM(_xlfn.REGEXREPLACE(RTD("cqg.rtd", ,"ContractData",V45, "LongDescription",, "T"), "\b(Select|Sector|SPDR|SectorSPDR|Fund)\b", ""))</f>
        <v>VIX Volatility Index (S&amp;P 500)</v>
      </c>
      <c r="X45" s="8"/>
      <c r="Y45" s="8"/>
    </row>
    <row r="46" spans="2:25" x14ac:dyDescent="0.3">
      <c r="B46" s="4" t="s">
        <v>123</v>
      </c>
      <c r="C46" s="4" t="s">
        <v>124</v>
      </c>
      <c r="D46" s="4" t="s">
        <v>125</v>
      </c>
      <c r="E46" s="4" t="s">
        <v>126</v>
      </c>
      <c r="G46" s="4" t="s">
        <v>123</v>
      </c>
      <c r="H46" s="4" t="s">
        <v>124</v>
      </c>
      <c r="I46" s="4" t="s">
        <v>125</v>
      </c>
      <c r="J46" s="4" t="s">
        <v>126</v>
      </c>
      <c r="L46" s="4" t="s">
        <v>123</v>
      </c>
      <c r="M46" s="4" t="s">
        <v>124</v>
      </c>
      <c r="N46" s="4" t="s">
        <v>125</v>
      </c>
      <c r="O46" s="4" t="s">
        <v>126</v>
      </c>
      <c r="Q46" s="4" t="s">
        <v>123</v>
      </c>
      <c r="R46" s="4" t="s">
        <v>124</v>
      </c>
      <c r="S46" s="4" t="s">
        <v>125</v>
      </c>
      <c r="T46" s="4" t="s">
        <v>126</v>
      </c>
      <c r="V46" s="4" t="s">
        <v>123</v>
      </c>
      <c r="W46" s="4" t="s">
        <v>124</v>
      </c>
      <c r="X46" s="4" t="s">
        <v>125</v>
      </c>
      <c r="Y46" s="4" t="s">
        <v>126</v>
      </c>
    </row>
    <row r="47" spans="2:25" x14ac:dyDescent="0.3">
      <c r="B47" s="5" t="str">
        <f>RTD("cqg.rtd", ,"ContractData",B45, "Open",, "T")</f>
        <v/>
      </c>
      <c r="C47" s="5" t="str">
        <f>RTD("cqg.rtd", ,"ContractData",B45, "High",, "T")</f>
        <v/>
      </c>
      <c r="D47" s="5" t="str">
        <f>RTD("cqg.rtd", ,"ContractData",B45, "Low",, "T")</f>
        <v/>
      </c>
      <c r="E47" s="5">
        <f>RTD("cqg.rtd", ,"ContractData",B45, "Last",, "T")</f>
        <v>47.17</v>
      </c>
      <c r="G47" s="5" t="str">
        <f>RTD("cqg.rtd", ,"ContractData",G45, "Open",, "T")</f>
        <v/>
      </c>
      <c r="H47" s="5" t="str">
        <f>RTD("cqg.rtd", ,"ContractData",G45, "High",, "T")</f>
        <v/>
      </c>
      <c r="I47" s="5" t="str">
        <f>RTD("cqg.rtd", ,"ContractData",G45, "Low",, "T")</f>
        <v/>
      </c>
      <c r="J47" s="5" t="str">
        <f>RTD("cqg.rtd", ,"ContractData",G45, "Last",, "T")</f>
        <v/>
      </c>
      <c r="L47" s="5" t="str">
        <f>RTD("cqg.rtd", ,"ContractData",L45, "Open",, "T")</f>
        <v/>
      </c>
      <c r="M47" s="5" t="str">
        <f>RTD("cqg.rtd", ,"ContractData",L45, "High",, "T")</f>
        <v/>
      </c>
      <c r="N47" s="5" t="str">
        <f>RTD("cqg.rtd", ,"ContractData",L45, "Low",, "T")</f>
        <v/>
      </c>
      <c r="O47" s="5" t="str">
        <f>RTD("cqg.rtd", ,"ContractData",L45, "Last",, "T")</f>
        <v/>
      </c>
      <c r="Q47" s="5" t="str">
        <f>RTD("cqg.rtd", ,"ContractData",Q45, "Open",, "T")</f>
        <v/>
      </c>
      <c r="R47" s="5" t="str">
        <f>RTD("cqg.rtd", ,"ContractData",Q45, "High",, "T")</f>
        <v/>
      </c>
      <c r="S47" s="5" t="str">
        <f>RTD("cqg.rtd", ,"ContractData",Q45, "Low",, "T")</f>
        <v/>
      </c>
      <c r="T47" s="5" t="str">
        <f>RTD("cqg.rtd", ,"ContractData",Q45, "Last",, "T")</f>
        <v/>
      </c>
      <c r="V47" s="5">
        <f>RTD("cqg.rtd", ,"ContractData",V45, "Open",, "T")</f>
        <v>19.71</v>
      </c>
      <c r="W47" s="5">
        <f>RTD("cqg.rtd", ,"ContractData",V45, "High",, "T")</f>
        <v>19.79</v>
      </c>
      <c r="X47" s="5">
        <f>RTD("cqg.rtd", ,"ContractData",V45, "Low",, "T")</f>
        <v>19.25</v>
      </c>
      <c r="Y47" s="5">
        <f>RTD("cqg.rtd", ,"ContractData",V45, "Last",, "T")</f>
        <v>19.27</v>
      </c>
    </row>
  </sheetData>
  <mergeCells count="15">
    <mergeCell ref="W45:Y45"/>
    <mergeCell ref="R37:T37"/>
    <mergeCell ref="W37:Y37"/>
    <mergeCell ref="H41:J41"/>
    <mergeCell ref="C45:E45"/>
    <mergeCell ref="M41:O41"/>
    <mergeCell ref="R41:T41"/>
    <mergeCell ref="W41:Y41"/>
    <mergeCell ref="H45:J45"/>
    <mergeCell ref="M45:O45"/>
    <mergeCell ref="R45:T45"/>
    <mergeCell ref="C37:E37"/>
    <mergeCell ref="C41:E41"/>
    <mergeCell ref="H37:J37"/>
    <mergeCell ref="M37:O3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45E1D-55EB-42D4-A20A-B29643A7C7C9}">
  <dimension ref="A1:T104"/>
  <sheetViews>
    <sheetView workbookViewId="0">
      <selection activeCell="A13" sqref="A13"/>
    </sheetView>
  </sheetViews>
  <sheetFormatPr defaultRowHeight="16.5" x14ac:dyDescent="0.3"/>
  <cols>
    <col min="1" max="1" width="12.375" bestFit="1" customWidth="1"/>
    <col min="2" max="2" width="25.875" bestFit="1" customWidth="1"/>
    <col min="3" max="3" width="23.875" bestFit="1" customWidth="1"/>
    <col min="4" max="4" width="7.5" bestFit="1" customWidth="1"/>
    <col min="5" max="5" width="5.375" bestFit="1" customWidth="1"/>
    <col min="6" max="6" width="12.375" bestFit="1" customWidth="1"/>
    <col min="7" max="7" width="23.875" bestFit="1" customWidth="1"/>
    <col min="8" max="8" width="3.875" bestFit="1" customWidth="1"/>
    <col min="9" max="9" width="12.375" bestFit="1" customWidth="1"/>
    <col min="10" max="10" width="23.875" bestFit="1" customWidth="1"/>
    <col min="11" max="11" width="25.625" bestFit="1" customWidth="1"/>
    <col min="12" max="12" width="12.375" bestFit="1" customWidth="1"/>
    <col min="13" max="13" width="7.5" bestFit="1" customWidth="1"/>
    <col min="14" max="14" width="25.625" bestFit="1" customWidth="1"/>
    <col min="15" max="15" width="12.375" bestFit="1" customWidth="1"/>
    <col min="16" max="16" width="7.5" bestFit="1" customWidth="1"/>
    <col min="17" max="17" width="8.25" bestFit="1" customWidth="1"/>
    <col min="19" max="19" width="2.875" bestFit="1" customWidth="1"/>
    <col min="20" max="20" width="23.875" bestFit="1" customWidth="1"/>
  </cols>
  <sheetData>
    <row r="1" spans="1:20" s="7" customFormat="1" x14ac:dyDescent="0.3">
      <c r="A1" s="6" t="s">
        <v>0</v>
      </c>
      <c r="B1" s="7" t="s">
        <v>104</v>
      </c>
      <c r="C1" s="6" t="s">
        <v>106</v>
      </c>
      <c r="D1" s="7" t="s">
        <v>118</v>
      </c>
      <c r="E1" s="7" t="s">
        <v>119</v>
      </c>
      <c r="F1" s="6" t="s">
        <v>0</v>
      </c>
      <c r="G1" s="6" t="s">
        <v>105</v>
      </c>
      <c r="I1" s="7" t="s">
        <v>119</v>
      </c>
      <c r="K1" s="7" t="s">
        <v>120</v>
      </c>
      <c r="L1" s="7" t="s">
        <v>121</v>
      </c>
      <c r="M1" s="7" t="s">
        <v>118</v>
      </c>
      <c r="N1" s="7" t="s">
        <v>120</v>
      </c>
      <c r="O1" s="7" t="s">
        <v>121</v>
      </c>
      <c r="P1" s="7" t="s">
        <v>118</v>
      </c>
      <c r="Q1" s="7" t="s">
        <v>121</v>
      </c>
    </row>
    <row r="2" spans="1:20" x14ac:dyDescent="0.3">
      <c r="A2" t="s">
        <v>1</v>
      </c>
      <c r="B2" t="str">
        <f>RTD("cqg.rtd", ,"ContractData",A2, "LongDescription",, "T")</f>
        <v>NVIDIA CORPORATION</v>
      </c>
      <c r="C2" s="1" t="s">
        <v>107</v>
      </c>
      <c r="D2" s="2" t="e">
        <f>RTD("cqg.rtd", ,"ContractData",A2, "PerCentNetLastTrade",, "T")/100</f>
        <v>#VALUE!</v>
      </c>
      <c r="E2" t="e">
        <f>RANK($D2,$D$2:D$104)+COUNTIF($D$2:D2,D2)-1</f>
        <v>#VALUE!</v>
      </c>
      <c r="F2" t="str">
        <f>A2</f>
        <v>S.US.NVDA</v>
      </c>
      <c r="G2" t="str">
        <f>C2</f>
        <v>Information Technology</v>
      </c>
      <c r="H2">
        <v>1</v>
      </c>
      <c r="I2" t="e">
        <f>VLOOKUP(H2,$E$2:$F$104,2,FALSE)</f>
        <v>#N/A</v>
      </c>
      <c r="J2" t="e">
        <f>VLOOKUP(H2,$E$2:$G$104,3,FALSE)</f>
        <v>#N/A</v>
      </c>
      <c r="K2" t="e">
        <f>COUNTIF($J$2:J2,J2)&amp;"-"&amp;J2</f>
        <v>#N/A</v>
      </c>
      <c r="L2" t="e">
        <f>I2</f>
        <v>#N/A</v>
      </c>
      <c r="M2" s="2" t="e">
        <f>RTD("cqg.rtd", ,"ContractData",L2, "PerCentNetLastTrade",, "T")/100</f>
        <v>#N/A</v>
      </c>
      <c r="N2" t="str">
        <f>"1-"&amp;"Communication Services"</f>
        <v>1-Communication Services</v>
      </c>
      <c r="O2" t="e">
        <f>VLOOKUP(N2,$K$2:$L$104,2,FALSE)</f>
        <v>#N/A</v>
      </c>
      <c r="P2" s="2" t="e">
        <f>RTD("cqg.rtd", ,"ContractData",O2, "PerCentNetLastTrade",, "T")/100</f>
        <v>#N/A</v>
      </c>
      <c r="Q2" t="e">
        <f>RIGHT(O2,LEN(O2)-5)</f>
        <v>#N/A</v>
      </c>
      <c r="S2">
        <f>COUNTIF($J$2:$J$104,T2)</f>
        <v>0</v>
      </c>
      <c r="T2" t="s">
        <v>109</v>
      </c>
    </row>
    <row r="3" spans="1:20" x14ac:dyDescent="0.3">
      <c r="A3" t="s">
        <v>2</v>
      </c>
      <c r="B3" t="str">
        <f>RTD("cqg.rtd", ,"ContractData",A3, "LongDescription",, "T")</f>
        <v>APPLE INC.</v>
      </c>
      <c r="C3" s="1" t="s">
        <v>107</v>
      </c>
      <c r="D3" s="2" t="e">
        <f>RTD("cqg.rtd", ,"ContractData",A3, "PerCentNetLastTrade",, "T")/100</f>
        <v>#VALUE!</v>
      </c>
      <c r="E3" t="e">
        <f>RANK($D3,$D$2:D$104)+COUNTIF($D$2:D3,D3)-1</f>
        <v>#VALUE!</v>
      </c>
      <c r="F3" t="str">
        <f>A3</f>
        <v>S.US.AAPL</v>
      </c>
      <c r="G3" t="str">
        <f t="shared" ref="G3:G66" si="0">C3</f>
        <v>Information Technology</v>
      </c>
      <c r="H3">
        <f>H2+1</f>
        <v>2</v>
      </c>
      <c r="I3" t="e">
        <f t="shared" ref="I3:I66" si="1">VLOOKUP(H3,$E$2:$F$104,2,FALSE)</f>
        <v>#N/A</v>
      </c>
      <c r="J3" t="e">
        <f t="shared" ref="J3:J66" si="2">VLOOKUP(H3,$E$2:$G$104,3,FALSE)</f>
        <v>#N/A</v>
      </c>
      <c r="K3" t="e">
        <f>COUNTIF($J$2:J3,J3)&amp;"-"&amp;J3</f>
        <v>#N/A</v>
      </c>
      <c r="L3" t="e">
        <f t="shared" ref="L3:L66" si="3">I3</f>
        <v>#N/A</v>
      </c>
      <c r="M3" s="2" t="e">
        <f>RTD("cqg.rtd", ,"ContractData",L3, "PerCentNetLastTrade",, "T")/100</f>
        <v>#N/A</v>
      </c>
      <c r="N3" t="str">
        <f>"2-"&amp;"Communication Services"</f>
        <v>2-Communication Services</v>
      </c>
      <c r="O3" t="e">
        <f t="shared" ref="O3:O66" si="4">VLOOKUP(N3,$K$2:$L$104,2,FALSE)</f>
        <v>#N/A</v>
      </c>
      <c r="P3" s="2" t="e">
        <f>RTD("cqg.rtd", ,"ContractData",O3, "PerCentNetLastTrade",, "T")/100</f>
        <v>#N/A</v>
      </c>
      <c r="Q3" t="e">
        <f t="shared" ref="Q3:Q66" si="5">RIGHT(O3,LEN(O3)-5)</f>
        <v>#N/A</v>
      </c>
      <c r="S3">
        <f t="shared" ref="S3:S12" si="6">COUNTIF($J$2:$J$104,T3)</f>
        <v>0</v>
      </c>
      <c r="T3" t="s">
        <v>108</v>
      </c>
    </row>
    <row r="4" spans="1:20" x14ac:dyDescent="0.3">
      <c r="A4" t="s">
        <v>3</v>
      </c>
      <c r="B4" t="str">
        <f>RTD("cqg.rtd", ,"ContractData",A4, "LongDescription",, "T")</f>
        <v>MICROSOFT CORP</v>
      </c>
      <c r="C4" s="1" t="s">
        <v>107</v>
      </c>
      <c r="D4" s="2" t="e">
        <f>RTD("cqg.rtd", ,"ContractData",A4, "PerCentNetLastTrade",, "T")/100</f>
        <v>#VALUE!</v>
      </c>
      <c r="E4" t="e">
        <f>RANK($D4,$D$2:D$104)+COUNTIF($D$2:D4,D4)-1</f>
        <v>#VALUE!</v>
      </c>
      <c r="F4" t="str">
        <f t="shared" ref="F4:F67" si="7">A4</f>
        <v>S.US.MSFT</v>
      </c>
      <c r="G4" t="str">
        <f t="shared" si="0"/>
        <v>Information Technology</v>
      </c>
      <c r="H4">
        <f t="shared" ref="H4:H67" si="8">H3+1</f>
        <v>3</v>
      </c>
      <c r="I4" t="e">
        <f t="shared" si="1"/>
        <v>#N/A</v>
      </c>
      <c r="J4" t="e">
        <f t="shared" si="2"/>
        <v>#N/A</v>
      </c>
      <c r="K4" t="e">
        <f>COUNTIF($J$2:J4,J4)&amp;"-"&amp;J4</f>
        <v>#N/A</v>
      </c>
      <c r="L4" t="e">
        <f t="shared" si="3"/>
        <v>#N/A</v>
      </c>
      <c r="M4" s="2" t="e">
        <f>RTD("cqg.rtd", ,"ContractData",L4, "PerCentNetLastTrade",, "T")/100</f>
        <v>#N/A</v>
      </c>
      <c r="N4" t="str">
        <f>"3-"&amp;"Communication Services"</f>
        <v>3-Communication Services</v>
      </c>
      <c r="O4" t="e">
        <f t="shared" si="4"/>
        <v>#N/A</v>
      </c>
      <c r="P4" s="2" t="e">
        <f>RTD("cqg.rtd", ,"ContractData",O4, "PerCentNetLastTrade",, "T")/100</f>
        <v>#N/A</v>
      </c>
      <c r="Q4" t="e">
        <f t="shared" si="5"/>
        <v>#N/A</v>
      </c>
      <c r="S4">
        <f t="shared" si="6"/>
        <v>0</v>
      </c>
      <c r="T4" t="s">
        <v>110</v>
      </c>
    </row>
    <row r="5" spans="1:20" x14ac:dyDescent="0.3">
      <c r="A5" t="s">
        <v>4</v>
      </c>
      <c r="B5" t="str">
        <f>RTD("cqg.rtd", ,"ContractData",A5, "LongDescription",, "T")</f>
        <v>Amazon.com Inc</v>
      </c>
      <c r="C5" s="1" t="s">
        <v>108</v>
      </c>
      <c r="D5" s="2" t="e">
        <f>RTD("cqg.rtd", ,"ContractData",A5, "PerCentNetLastTrade",, "T")/100</f>
        <v>#VALUE!</v>
      </c>
      <c r="E5" t="e">
        <f>RANK($D5,$D$2:D$104)+COUNTIF($D$2:D5,D5)-1</f>
        <v>#VALUE!</v>
      </c>
      <c r="F5" t="str">
        <f t="shared" si="7"/>
        <v>S.US.AMZN</v>
      </c>
      <c r="G5" t="str">
        <f t="shared" si="0"/>
        <v>Consumer Discretionary</v>
      </c>
      <c r="H5">
        <f t="shared" si="8"/>
        <v>4</v>
      </c>
      <c r="I5" t="e">
        <f t="shared" si="1"/>
        <v>#N/A</v>
      </c>
      <c r="J5" t="e">
        <f t="shared" si="2"/>
        <v>#N/A</v>
      </c>
      <c r="K5" t="e">
        <f>COUNTIF($J$2:J5,J5)&amp;"-"&amp;J5</f>
        <v>#N/A</v>
      </c>
      <c r="L5" t="e">
        <f t="shared" si="3"/>
        <v>#N/A</v>
      </c>
      <c r="M5" s="2" t="e">
        <f>RTD("cqg.rtd", ,"ContractData",L5, "PerCentNetLastTrade",, "T")/100</f>
        <v>#N/A</v>
      </c>
      <c r="N5" t="str">
        <f>"4-"&amp;"Communication Services"</f>
        <v>4-Communication Services</v>
      </c>
      <c r="O5" t="e">
        <f t="shared" si="4"/>
        <v>#N/A</v>
      </c>
      <c r="P5" s="2" t="e">
        <f>RTD("cqg.rtd", ,"ContractData",O5, "PerCentNetLastTrade",, "T")/100</f>
        <v>#N/A</v>
      </c>
      <c r="Q5" t="e">
        <f t="shared" si="5"/>
        <v>#N/A</v>
      </c>
      <c r="S5">
        <f t="shared" si="6"/>
        <v>0</v>
      </c>
      <c r="T5" t="s">
        <v>115</v>
      </c>
    </row>
    <row r="6" spans="1:20" x14ac:dyDescent="0.3">
      <c r="A6" t="s">
        <v>5</v>
      </c>
      <c r="B6" t="str">
        <f>RTD("cqg.rtd", ,"ContractData",A6, "LongDescription",, "T")</f>
        <v>ALPHABET CL A CMN</v>
      </c>
      <c r="C6" s="1" t="s">
        <v>109</v>
      </c>
      <c r="D6" s="2" t="e">
        <f>RTD("cqg.rtd", ,"ContractData",A6, "PerCentNetLastTrade",, "T")/100</f>
        <v>#VALUE!</v>
      </c>
      <c r="E6" t="e">
        <f>RANK($D6,$D$2:D$104)+COUNTIF($D$2:D6,D6)-1</f>
        <v>#VALUE!</v>
      </c>
      <c r="F6" t="str">
        <f t="shared" si="7"/>
        <v>S.US.GOOGL</v>
      </c>
      <c r="G6" t="str">
        <f t="shared" si="0"/>
        <v>Communication Services</v>
      </c>
      <c r="H6">
        <f t="shared" si="8"/>
        <v>5</v>
      </c>
      <c r="I6" t="e">
        <f t="shared" si="1"/>
        <v>#N/A</v>
      </c>
      <c r="J6" t="e">
        <f t="shared" si="2"/>
        <v>#N/A</v>
      </c>
      <c r="K6" t="e">
        <f>COUNTIF($J$2:J6,J6)&amp;"-"&amp;J6</f>
        <v>#N/A</v>
      </c>
      <c r="L6" t="e">
        <f t="shared" si="3"/>
        <v>#N/A</v>
      </c>
      <c r="M6" s="2" t="e">
        <f>RTD("cqg.rtd", ,"ContractData",L6, "PerCentNetLastTrade",, "T")/100</f>
        <v>#N/A</v>
      </c>
      <c r="N6" t="str">
        <f>"5-"&amp;"Communication Services"</f>
        <v>5-Communication Services</v>
      </c>
      <c r="O6" t="e">
        <f t="shared" si="4"/>
        <v>#N/A</v>
      </c>
      <c r="P6" s="2" t="e">
        <f>RTD("cqg.rtd", ,"ContractData",O6, "PerCentNetLastTrade",, "T")/100</f>
        <v>#N/A</v>
      </c>
      <c r="Q6" t="e">
        <f t="shared" si="5"/>
        <v>#N/A</v>
      </c>
      <c r="S6">
        <f t="shared" si="6"/>
        <v>0</v>
      </c>
      <c r="T6" t="s">
        <v>117</v>
      </c>
    </row>
    <row r="7" spans="1:20" x14ac:dyDescent="0.3">
      <c r="A7" t="s">
        <v>6</v>
      </c>
      <c r="B7" t="str">
        <f>RTD("cqg.rtd", ,"ContractData",A7, "LongDescription",, "T")</f>
        <v>ALPHABET CL C CAP</v>
      </c>
      <c r="C7" s="1" t="s">
        <v>109</v>
      </c>
      <c r="D7" s="2" t="e">
        <f>RTD("cqg.rtd", ,"ContractData",A7, "PerCentNetLastTrade",, "T")/100</f>
        <v>#VALUE!</v>
      </c>
      <c r="E7" t="e">
        <f>RANK($D7,$D$2:D$104)+COUNTIF($D$2:D7,D7)-1</f>
        <v>#VALUE!</v>
      </c>
      <c r="F7" t="str">
        <f t="shared" si="7"/>
        <v>S.US.GOOG</v>
      </c>
      <c r="G7" t="str">
        <f t="shared" si="0"/>
        <v>Communication Services</v>
      </c>
      <c r="H7">
        <f t="shared" si="8"/>
        <v>6</v>
      </c>
      <c r="I7" t="e">
        <f t="shared" si="1"/>
        <v>#N/A</v>
      </c>
      <c r="J7" t="e">
        <f t="shared" si="2"/>
        <v>#N/A</v>
      </c>
      <c r="K7" t="e">
        <f>COUNTIF($J$2:J7,J7)&amp;"-"&amp;J7</f>
        <v>#N/A</v>
      </c>
      <c r="L7" t="e">
        <f t="shared" si="3"/>
        <v>#N/A</v>
      </c>
      <c r="M7" s="2" t="e">
        <f>RTD("cqg.rtd", ,"ContractData",L7, "PerCentNetLastTrade",, "T")/100</f>
        <v>#N/A</v>
      </c>
      <c r="N7" t="str">
        <f>"6-"&amp;"Communication Services"</f>
        <v>6-Communication Services</v>
      </c>
      <c r="O7" t="e">
        <f t="shared" si="4"/>
        <v>#N/A</v>
      </c>
      <c r="P7" s="2" t="e">
        <f>RTD("cqg.rtd", ,"ContractData",O7, "PerCentNetLastTrade",, "T")/100</f>
        <v>#N/A</v>
      </c>
      <c r="Q7" t="e">
        <f t="shared" si="5"/>
        <v>#N/A</v>
      </c>
      <c r="S7">
        <f t="shared" si="6"/>
        <v>0</v>
      </c>
      <c r="T7" t="s">
        <v>112</v>
      </c>
    </row>
    <row r="8" spans="1:20" x14ac:dyDescent="0.3">
      <c r="A8" t="s">
        <v>7</v>
      </c>
      <c r="B8" t="str">
        <f>RTD("cqg.rtd", ,"ContractData",A8, "LongDescription",, "T")</f>
        <v>Meta Platforms, Inc.</v>
      </c>
      <c r="C8" s="1" t="s">
        <v>109</v>
      </c>
      <c r="D8" s="2" t="e">
        <f>RTD("cqg.rtd", ,"ContractData",A8, "PerCentNetLastTrade",, "T")/100</f>
        <v>#VALUE!</v>
      </c>
      <c r="E8" t="e">
        <f>RANK($D8,$D$2:D$104)+COUNTIF($D$2:D8,D8)-1</f>
        <v>#VALUE!</v>
      </c>
      <c r="F8" t="str">
        <f t="shared" si="7"/>
        <v>S.US.META</v>
      </c>
      <c r="G8" t="str">
        <f t="shared" si="0"/>
        <v>Communication Services</v>
      </c>
      <c r="H8">
        <f t="shared" si="8"/>
        <v>7</v>
      </c>
      <c r="I8" t="e">
        <f t="shared" si="1"/>
        <v>#N/A</v>
      </c>
      <c r="J8" t="e">
        <f t="shared" si="2"/>
        <v>#N/A</v>
      </c>
      <c r="K8" t="e">
        <f>COUNTIF($J$2:J8,J8)&amp;"-"&amp;J8</f>
        <v>#N/A</v>
      </c>
      <c r="L8" t="e">
        <f t="shared" si="3"/>
        <v>#N/A</v>
      </c>
      <c r="M8" s="2" t="e">
        <f>RTD("cqg.rtd", ,"ContractData",L8, "PerCentNetLastTrade",, "T")/100</f>
        <v>#N/A</v>
      </c>
      <c r="N8" t="str">
        <f>"7-"&amp;"Communication Services"</f>
        <v>7-Communication Services</v>
      </c>
      <c r="O8" t="e">
        <f t="shared" si="4"/>
        <v>#N/A</v>
      </c>
      <c r="P8" s="2" t="e">
        <f>RTD("cqg.rtd", ,"ContractData",O8, "PerCentNetLastTrade",, "T")/100</f>
        <v>#N/A</v>
      </c>
      <c r="Q8" t="e">
        <f t="shared" si="5"/>
        <v>#N/A</v>
      </c>
      <c r="S8">
        <f t="shared" si="6"/>
        <v>0</v>
      </c>
      <c r="T8" t="s">
        <v>113</v>
      </c>
    </row>
    <row r="9" spans="1:20" x14ac:dyDescent="0.3">
      <c r="A9" t="s">
        <v>8</v>
      </c>
      <c r="B9" t="str">
        <f>RTD("cqg.rtd", ,"ContractData",A9, "LongDescription",, "T")</f>
        <v>Broadcom Inc.</v>
      </c>
      <c r="C9" s="1" t="s">
        <v>107</v>
      </c>
      <c r="D9" s="2" t="e">
        <f>RTD("cqg.rtd", ,"ContractData",A9, "PerCentNetLastTrade",, "T")/100</f>
        <v>#VALUE!</v>
      </c>
      <c r="E9" t="e">
        <f>RANK($D9,$D$2:D$104)+COUNTIF($D$2:D9,D9)-1</f>
        <v>#VALUE!</v>
      </c>
      <c r="F9" t="str">
        <f t="shared" si="7"/>
        <v>S.US.AVGO</v>
      </c>
      <c r="G9" t="str">
        <f t="shared" si="0"/>
        <v>Information Technology</v>
      </c>
      <c r="H9">
        <f t="shared" si="8"/>
        <v>8</v>
      </c>
      <c r="I9" t="e">
        <f t="shared" si="1"/>
        <v>#N/A</v>
      </c>
      <c r="J9" t="e">
        <f t="shared" si="2"/>
        <v>#N/A</v>
      </c>
      <c r="K9" t="e">
        <f>COUNTIF($J$2:J9,J9)&amp;"-"&amp;J9</f>
        <v>#N/A</v>
      </c>
      <c r="L9" t="e">
        <f t="shared" si="3"/>
        <v>#N/A</v>
      </c>
      <c r="M9" s="2" t="e">
        <f>RTD("cqg.rtd", ,"ContractData",L9, "PerCentNetLastTrade",, "T")/100</f>
        <v>#N/A</v>
      </c>
      <c r="N9" t="str">
        <f>"8-"&amp;"Communication Services"</f>
        <v>8-Communication Services</v>
      </c>
      <c r="O9" t="e">
        <f t="shared" si="4"/>
        <v>#N/A</v>
      </c>
      <c r="P9" s="2" t="e">
        <f>RTD("cqg.rtd", ,"ContractData",O9, "PerCentNetLastTrade",, "T")/100</f>
        <v>#N/A</v>
      </c>
      <c r="Q9" t="e">
        <f t="shared" si="5"/>
        <v>#N/A</v>
      </c>
      <c r="S9">
        <f t="shared" si="6"/>
        <v>0</v>
      </c>
      <c r="T9" t="s">
        <v>107</v>
      </c>
    </row>
    <row r="10" spans="1:20" x14ac:dyDescent="0.3">
      <c r="A10" t="s">
        <v>9</v>
      </c>
      <c r="B10" t="str">
        <f>RTD("cqg.rtd", ,"ContractData",A10, "LongDescription",, "T")</f>
        <v>TESLA, INC.</v>
      </c>
      <c r="C10" s="1" t="s">
        <v>108</v>
      </c>
      <c r="D10" s="2" t="e">
        <f>RTD("cqg.rtd", ,"ContractData",A10, "PerCentNetLastTrade",, "T")/100</f>
        <v>#VALUE!</v>
      </c>
      <c r="E10" t="e">
        <f>RANK($D10,$D$2:D$104)+COUNTIF($D$2:D10,D10)-1</f>
        <v>#VALUE!</v>
      </c>
      <c r="F10" t="str">
        <f t="shared" si="7"/>
        <v>S.US.TSLA</v>
      </c>
      <c r="G10" t="str">
        <f t="shared" si="0"/>
        <v>Consumer Discretionary</v>
      </c>
      <c r="H10">
        <f t="shared" si="8"/>
        <v>9</v>
      </c>
      <c r="I10" t="e">
        <f t="shared" si="1"/>
        <v>#N/A</v>
      </c>
      <c r="J10" t="e">
        <f t="shared" si="2"/>
        <v>#N/A</v>
      </c>
      <c r="K10" t="e">
        <f>COUNTIF($J$2:J10,J10)&amp;"-"&amp;J10</f>
        <v>#N/A</v>
      </c>
      <c r="L10" t="e">
        <f t="shared" si="3"/>
        <v>#N/A</v>
      </c>
      <c r="M10" s="2" t="e">
        <f>RTD("cqg.rtd", ,"ContractData",L10, "PerCentNetLastTrade",, "T")/100</f>
        <v>#N/A</v>
      </c>
      <c r="N10" t="str">
        <f>"9-"&amp;"Communication Services"</f>
        <v>9-Communication Services</v>
      </c>
      <c r="O10" t="e">
        <f t="shared" si="4"/>
        <v>#N/A</v>
      </c>
      <c r="P10" s="2" t="e">
        <f>RTD("cqg.rtd", ,"ContractData",O10, "PerCentNetLastTrade",, "T")/100</f>
        <v>#N/A</v>
      </c>
      <c r="Q10" t="e">
        <f t="shared" si="5"/>
        <v>#N/A</v>
      </c>
      <c r="S10">
        <f t="shared" si="6"/>
        <v>0</v>
      </c>
      <c r="T10" t="s">
        <v>111</v>
      </c>
    </row>
    <row r="11" spans="1:20" x14ac:dyDescent="0.3">
      <c r="A11" t="s">
        <v>10</v>
      </c>
      <c r="B11" t="str">
        <f>RTD("cqg.rtd", ,"ContractData",A11, "LongDescription",, "T")</f>
        <v>WALMART INC CMN</v>
      </c>
      <c r="C11" s="1" t="s">
        <v>110</v>
      </c>
      <c r="D11" s="2" t="e">
        <f>RTD("cqg.rtd", ,"ContractData",A11, "PerCentNetLastTrade",, "T")/100</f>
        <v>#VALUE!</v>
      </c>
      <c r="E11" t="e">
        <f>RANK($D11,$D$2:D$104)+COUNTIF($D$2:D11,D11)-1</f>
        <v>#VALUE!</v>
      </c>
      <c r="F11" t="str">
        <f t="shared" si="7"/>
        <v>S.US.WMT</v>
      </c>
      <c r="G11" t="str">
        <f t="shared" si="0"/>
        <v>Consumer Staples</v>
      </c>
      <c r="H11">
        <f t="shared" si="8"/>
        <v>10</v>
      </c>
      <c r="I11" t="e">
        <f t="shared" si="1"/>
        <v>#N/A</v>
      </c>
      <c r="J11" t="e">
        <f t="shared" si="2"/>
        <v>#N/A</v>
      </c>
      <c r="K11" t="e">
        <f>COUNTIF($J$2:J11,J11)&amp;"-"&amp;J11</f>
        <v>#N/A</v>
      </c>
      <c r="L11" t="e">
        <f t="shared" si="3"/>
        <v>#N/A</v>
      </c>
      <c r="M11" s="2" t="e">
        <f>RTD("cqg.rtd", ,"ContractData",L11, "PerCentNetLastTrade",, "T")/100</f>
        <v>#N/A</v>
      </c>
      <c r="N11" t="str">
        <f>"1-"&amp;"Consumer Discretionary"</f>
        <v>1-Consumer Discretionary</v>
      </c>
      <c r="O11" t="e">
        <f t="shared" si="4"/>
        <v>#N/A</v>
      </c>
      <c r="P11" s="2" t="e">
        <f>RTD("cqg.rtd", ,"ContractData",O11, "PerCentNetLastTrade",, "T")/100</f>
        <v>#N/A</v>
      </c>
      <c r="Q11" t="e">
        <f t="shared" si="5"/>
        <v>#N/A</v>
      </c>
      <c r="S11">
        <f t="shared" si="6"/>
        <v>0</v>
      </c>
      <c r="T11" t="s">
        <v>116</v>
      </c>
    </row>
    <row r="12" spans="1:20" x14ac:dyDescent="0.3">
      <c r="A12" t="s">
        <v>11</v>
      </c>
      <c r="B12" t="str">
        <f>RTD("cqg.rtd", ,"ContractData",A12, "LongDescription",, "T")</f>
        <v>COSTCO WHOLESALE</v>
      </c>
      <c r="C12" s="1" t="s">
        <v>110</v>
      </c>
      <c r="D12" s="2" t="e">
        <f>RTD("cqg.rtd", ,"ContractData",A12, "PerCentNetLastTrade",, "T")/100</f>
        <v>#VALUE!</v>
      </c>
      <c r="E12" t="e">
        <f>RANK($D12,$D$2:D$104)+COUNTIF($D$2:D12,D12)-1</f>
        <v>#VALUE!</v>
      </c>
      <c r="F12" t="str">
        <f t="shared" si="7"/>
        <v>S.US.COST</v>
      </c>
      <c r="G12" t="str">
        <f t="shared" si="0"/>
        <v>Consumer Staples</v>
      </c>
      <c r="H12">
        <f t="shared" si="8"/>
        <v>11</v>
      </c>
      <c r="I12" t="e">
        <f t="shared" si="1"/>
        <v>#N/A</v>
      </c>
      <c r="J12" t="e">
        <f t="shared" si="2"/>
        <v>#N/A</v>
      </c>
      <c r="K12" t="e">
        <f>COUNTIF($J$2:J12,J12)&amp;"-"&amp;J12</f>
        <v>#N/A</v>
      </c>
      <c r="L12" t="e">
        <f t="shared" si="3"/>
        <v>#N/A</v>
      </c>
      <c r="M12" s="2" t="e">
        <f>RTD("cqg.rtd", ,"ContractData",L12, "PerCentNetLastTrade",, "T")/100</f>
        <v>#N/A</v>
      </c>
      <c r="N12" t="str">
        <f>"2-"&amp;"Consumer Discretionary"</f>
        <v>2-Consumer Discretionary</v>
      </c>
      <c r="O12" t="e">
        <f t="shared" si="4"/>
        <v>#N/A</v>
      </c>
      <c r="P12" s="2" t="e">
        <f>RTD("cqg.rtd", ,"ContractData",O12, "PerCentNetLastTrade",, "T")/100</f>
        <v>#N/A</v>
      </c>
      <c r="Q12" t="e">
        <f t="shared" si="5"/>
        <v>#N/A</v>
      </c>
      <c r="S12">
        <f t="shared" si="6"/>
        <v>0</v>
      </c>
      <c r="T12" t="s">
        <v>114</v>
      </c>
    </row>
    <row r="13" spans="1:20" x14ac:dyDescent="0.3">
      <c r="A13" t="s">
        <v>12</v>
      </c>
      <c r="B13" t="str">
        <f>RTD("cqg.rtd", ,"ContractData",A13, "LongDescription",, "T")</f>
        <v>NETFLIX, INC.</v>
      </c>
      <c r="C13" s="1" t="s">
        <v>109</v>
      </c>
      <c r="D13" s="2" t="e">
        <f>RTD("cqg.rtd", ,"ContractData",A13, "PerCentNetLastTrade",, "T")/100</f>
        <v>#VALUE!</v>
      </c>
      <c r="E13" t="e">
        <f>RANK($D13,$D$2:D$104)+COUNTIF($D$2:D13,D13)-1</f>
        <v>#VALUE!</v>
      </c>
      <c r="F13" t="str">
        <f t="shared" si="7"/>
        <v>S.US.NFLX</v>
      </c>
      <c r="G13" t="str">
        <f t="shared" si="0"/>
        <v>Communication Services</v>
      </c>
      <c r="H13">
        <f t="shared" si="8"/>
        <v>12</v>
      </c>
      <c r="I13" t="e">
        <f t="shared" si="1"/>
        <v>#N/A</v>
      </c>
      <c r="J13" t="e">
        <f t="shared" si="2"/>
        <v>#N/A</v>
      </c>
      <c r="K13" t="e">
        <f>COUNTIF($J$2:J13,J13)&amp;"-"&amp;J13</f>
        <v>#N/A</v>
      </c>
      <c r="L13" t="e">
        <f t="shared" si="3"/>
        <v>#N/A</v>
      </c>
      <c r="M13" s="2" t="e">
        <f>RTD("cqg.rtd", ,"ContractData",L13, "PerCentNetLastTrade",, "T")/100</f>
        <v>#N/A</v>
      </c>
      <c r="N13" t="str">
        <f>"3-"&amp;"Consumer Discretionary"</f>
        <v>3-Consumer Discretionary</v>
      </c>
      <c r="O13" t="e">
        <f t="shared" si="4"/>
        <v>#N/A</v>
      </c>
      <c r="P13" s="2" t="e">
        <f>RTD("cqg.rtd", ,"ContractData",O13, "PerCentNetLastTrade",, "T")/100</f>
        <v>#N/A</v>
      </c>
      <c r="Q13" t="e">
        <f t="shared" si="5"/>
        <v>#N/A</v>
      </c>
    </row>
    <row r="14" spans="1:20" x14ac:dyDescent="0.3">
      <c r="A14" t="s">
        <v>13</v>
      </c>
      <c r="B14" t="str">
        <f>RTD("cqg.rtd", ,"ContractData",A14, "LongDescription",, "T")</f>
        <v>ADV MICRO DEVICES</v>
      </c>
      <c r="C14" s="1" t="s">
        <v>107</v>
      </c>
      <c r="D14" s="2" t="e">
        <f>RTD("cqg.rtd", ,"ContractData",A14, "PerCentNetLastTrade",, "T")/100</f>
        <v>#VALUE!</v>
      </c>
      <c r="E14" t="e">
        <f>RANK($D14,$D$2:D$104)+COUNTIF($D$2:D14,D14)-1</f>
        <v>#VALUE!</v>
      </c>
      <c r="F14" t="str">
        <f t="shared" si="7"/>
        <v>S.US.AMD</v>
      </c>
      <c r="G14" t="str">
        <f t="shared" si="0"/>
        <v>Information Technology</v>
      </c>
      <c r="H14">
        <f t="shared" si="8"/>
        <v>13</v>
      </c>
      <c r="I14" t="e">
        <f t="shared" si="1"/>
        <v>#N/A</v>
      </c>
      <c r="J14" t="e">
        <f t="shared" si="2"/>
        <v>#N/A</v>
      </c>
      <c r="K14" t="e">
        <f>COUNTIF($J$2:J14,J14)&amp;"-"&amp;J14</f>
        <v>#N/A</v>
      </c>
      <c r="L14" t="e">
        <f t="shared" si="3"/>
        <v>#N/A</v>
      </c>
      <c r="M14" s="2" t="e">
        <f>RTD("cqg.rtd", ,"ContractData",L14, "PerCentNetLastTrade",, "T")/100</f>
        <v>#N/A</v>
      </c>
      <c r="N14" t="str">
        <f>"4-"&amp;"Consumer Discretionary"</f>
        <v>4-Consumer Discretionary</v>
      </c>
      <c r="O14" t="e">
        <f t="shared" si="4"/>
        <v>#N/A</v>
      </c>
      <c r="P14" s="2" t="e">
        <f>RTD("cqg.rtd", ,"ContractData",O14, "PerCentNetLastTrade",, "T")/100</f>
        <v>#N/A</v>
      </c>
      <c r="Q14" t="e">
        <f t="shared" si="5"/>
        <v>#N/A</v>
      </c>
    </row>
    <row r="15" spans="1:20" x14ac:dyDescent="0.3">
      <c r="A15" t="s">
        <v>14</v>
      </c>
      <c r="B15" t="str">
        <f>RTD("cqg.rtd", ,"ContractData",A15, "LongDescription",, "T")</f>
        <v>PALANTIR TECH CL A</v>
      </c>
      <c r="C15" s="1" t="s">
        <v>107</v>
      </c>
      <c r="D15" s="2" t="e">
        <f>RTD("cqg.rtd", ,"ContractData",A15, "PerCentNetLastTrade",, "T")/100</f>
        <v>#VALUE!</v>
      </c>
      <c r="E15" t="e">
        <f>RANK($D15,$D$2:D$104)+COUNTIF($D$2:D15,D15)-1</f>
        <v>#VALUE!</v>
      </c>
      <c r="F15" t="str">
        <f t="shared" si="7"/>
        <v>S.US.PLTR</v>
      </c>
      <c r="G15" t="str">
        <f t="shared" si="0"/>
        <v>Information Technology</v>
      </c>
      <c r="H15">
        <f t="shared" si="8"/>
        <v>14</v>
      </c>
      <c r="I15" t="e">
        <f t="shared" si="1"/>
        <v>#N/A</v>
      </c>
      <c r="J15" t="e">
        <f t="shared" si="2"/>
        <v>#N/A</v>
      </c>
      <c r="K15" t="e">
        <f>COUNTIF($J$2:J15,J15)&amp;"-"&amp;J15</f>
        <v>#N/A</v>
      </c>
      <c r="L15" t="e">
        <f t="shared" si="3"/>
        <v>#N/A</v>
      </c>
      <c r="M15" s="2" t="e">
        <f>RTD("cqg.rtd", ,"ContractData",L15, "PerCentNetLastTrade",, "T")/100</f>
        <v>#N/A</v>
      </c>
      <c r="N15" t="str">
        <f>"5-"&amp;"Consumer Discretionary"</f>
        <v>5-Consumer Discretionary</v>
      </c>
      <c r="O15" t="e">
        <f t="shared" si="4"/>
        <v>#N/A</v>
      </c>
      <c r="P15" s="2" t="e">
        <f>RTD("cqg.rtd", ,"ContractData",O15, "PerCentNetLastTrade",, "T")/100</f>
        <v>#N/A</v>
      </c>
      <c r="Q15" t="e">
        <f t="shared" si="5"/>
        <v>#N/A</v>
      </c>
    </row>
    <row r="16" spans="1:20" x14ac:dyDescent="0.3">
      <c r="A16" t="s">
        <v>15</v>
      </c>
      <c r="B16" t="str">
        <f>RTD("cqg.rtd", ,"ContractData",A16, "LongDescription",, "T")</f>
        <v>CISCO SYSTEMS INC.</v>
      </c>
      <c r="C16" s="1" t="s">
        <v>107</v>
      </c>
      <c r="D16" s="2" t="e">
        <f>RTD("cqg.rtd", ,"ContractData",A16, "PerCentNetLastTrade",, "T")/100</f>
        <v>#VALUE!</v>
      </c>
      <c r="E16" t="e">
        <f>RANK($D16,$D$2:D$104)+COUNTIF($D$2:D16,D16)-1</f>
        <v>#VALUE!</v>
      </c>
      <c r="F16" t="str">
        <f t="shared" si="7"/>
        <v>S.US.CSCO</v>
      </c>
      <c r="G16" t="str">
        <f t="shared" si="0"/>
        <v>Information Technology</v>
      </c>
      <c r="H16">
        <f t="shared" si="8"/>
        <v>15</v>
      </c>
      <c r="I16" t="e">
        <f t="shared" si="1"/>
        <v>#N/A</v>
      </c>
      <c r="J16" t="e">
        <f t="shared" si="2"/>
        <v>#N/A</v>
      </c>
      <c r="K16" t="e">
        <f>COUNTIF($J$2:J16,J16)&amp;"-"&amp;J16</f>
        <v>#N/A</v>
      </c>
      <c r="L16" t="e">
        <f t="shared" si="3"/>
        <v>#N/A</v>
      </c>
      <c r="M16" s="2" t="e">
        <f>RTD("cqg.rtd", ,"ContractData",L16, "PerCentNetLastTrade",, "T")/100</f>
        <v>#N/A</v>
      </c>
      <c r="N16" t="str">
        <f>"6-"&amp;"Consumer Discretionary"</f>
        <v>6-Consumer Discretionary</v>
      </c>
      <c r="O16" t="e">
        <f t="shared" si="4"/>
        <v>#N/A</v>
      </c>
      <c r="P16" s="2" t="e">
        <f>RTD("cqg.rtd", ,"ContractData",O16, "PerCentNetLastTrade",, "T")/100</f>
        <v>#N/A</v>
      </c>
      <c r="Q16" t="e">
        <f t="shared" si="5"/>
        <v>#N/A</v>
      </c>
    </row>
    <row r="17" spans="1:17" x14ac:dyDescent="0.3">
      <c r="A17" t="s">
        <v>16</v>
      </c>
      <c r="B17" t="str">
        <f>RTD("cqg.rtd", ,"ContractData",A17, "LongDescription",, "T")</f>
        <v>LAM RESEARCH CORP</v>
      </c>
      <c r="C17" s="1" t="s">
        <v>107</v>
      </c>
      <c r="D17" s="2" t="e">
        <f>RTD("cqg.rtd", ,"ContractData",A17, "PerCentNetLastTrade",, "T")/100</f>
        <v>#VALUE!</v>
      </c>
      <c r="E17" t="e">
        <f>RANK($D17,$D$2:D$104)+COUNTIF($D$2:D17,D17)-1</f>
        <v>#VALUE!</v>
      </c>
      <c r="F17" t="str">
        <f t="shared" si="7"/>
        <v>S.US.LRCX</v>
      </c>
      <c r="G17" t="str">
        <f t="shared" si="0"/>
        <v>Information Technology</v>
      </c>
      <c r="H17">
        <f t="shared" si="8"/>
        <v>16</v>
      </c>
      <c r="I17" t="e">
        <f t="shared" si="1"/>
        <v>#N/A</v>
      </c>
      <c r="J17" t="e">
        <f t="shared" si="2"/>
        <v>#N/A</v>
      </c>
      <c r="K17" t="e">
        <f>COUNTIF($J$2:J17,J17)&amp;"-"&amp;J17</f>
        <v>#N/A</v>
      </c>
      <c r="L17" t="e">
        <f t="shared" si="3"/>
        <v>#N/A</v>
      </c>
      <c r="M17" s="2" t="e">
        <f>RTD("cqg.rtd", ,"ContractData",L17, "PerCentNetLastTrade",, "T")/100</f>
        <v>#N/A</v>
      </c>
      <c r="N17" t="str">
        <f>"7-"&amp;"Consumer Discretionary"</f>
        <v>7-Consumer Discretionary</v>
      </c>
      <c r="O17" t="e">
        <f t="shared" si="4"/>
        <v>#N/A</v>
      </c>
      <c r="P17" s="2" t="e">
        <f>RTD("cqg.rtd", ,"ContractData",O17, "PerCentNetLastTrade",, "T")/100</f>
        <v>#N/A</v>
      </c>
      <c r="Q17" t="e">
        <f t="shared" si="5"/>
        <v>#N/A</v>
      </c>
    </row>
    <row r="18" spans="1:17" x14ac:dyDescent="0.3">
      <c r="A18" t="s">
        <v>17</v>
      </c>
      <c r="B18" t="str">
        <f>RTD("cqg.rtd", ,"ContractData",A18, "LongDescription",, "T")</f>
        <v>APPLIED MATERIALS</v>
      </c>
      <c r="C18" s="1" t="s">
        <v>107</v>
      </c>
      <c r="D18" s="2" t="e">
        <f>RTD("cqg.rtd", ,"ContractData",A18, "PerCentNetLastTrade",, "T")/100</f>
        <v>#VALUE!</v>
      </c>
      <c r="E18" t="e">
        <f>RANK($D18,$D$2:D$104)+COUNTIF($D$2:D18,D18)-1</f>
        <v>#VALUE!</v>
      </c>
      <c r="F18" t="str">
        <f t="shared" si="7"/>
        <v>S.US.AMAT</v>
      </c>
      <c r="G18" t="str">
        <f t="shared" si="0"/>
        <v>Information Technology</v>
      </c>
      <c r="H18">
        <f t="shared" si="8"/>
        <v>17</v>
      </c>
      <c r="I18" t="e">
        <f t="shared" si="1"/>
        <v>#N/A</v>
      </c>
      <c r="J18" t="e">
        <f t="shared" si="2"/>
        <v>#N/A</v>
      </c>
      <c r="K18" t="e">
        <f>COUNTIF($J$2:J18,J18)&amp;"-"&amp;J18</f>
        <v>#N/A</v>
      </c>
      <c r="L18" t="e">
        <f t="shared" si="3"/>
        <v>#N/A</v>
      </c>
      <c r="M18" s="2" t="e">
        <f>RTD("cqg.rtd", ,"ContractData",L18, "PerCentNetLastTrade",, "T")/100</f>
        <v>#N/A</v>
      </c>
      <c r="N18" t="str">
        <f>"8-"&amp;"Consumer Discretionary"</f>
        <v>8-Consumer Discretionary</v>
      </c>
      <c r="O18" t="e">
        <f t="shared" si="4"/>
        <v>#N/A</v>
      </c>
      <c r="P18" s="2" t="e">
        <f>RTD("cqg.rtd", ,"ContractData",O18, "PerCentNetLastTrade",, "T")/100</f>
        <v>#N/A</v>
      </c>
      <c r="Q18" t="e">
        <f t="shared" si="5"/>
        <v>#N/A</v>
      </c>
    </row>
    <row r="19" spans="1:17" x14ac:dyDescent="0.3">
      <c r="A19" t="s">
        <v>18</v>
      </c>
      <c r="B19" t="str">
        <f>RTD("cqg.rtd", ,"ContractData",A19, "LongDescription",, "T")</f>
        <v>INTEL CORP</v>
      </c>
      <c r="C19" s="1" t="s">
        <v>107</v>
      </c>
      <c r="D19" s="2" t="e">
        <f>RTD("cqg.rtd", ,"ContractData",A19, "PerCentNetLastTrade",, "T")/100</f>
        <v>#VALUE!</v>
      </c>
      <c r="E19" t="e">
        <f>RANK($D19,$D$2:D$104)+COUNTIF($D$2:D19,D19)-1</f>
        <v>#VALUE!</v>
      </c>
      <c r="F19" t="str">
        <f t="shared" si="7"/>
        <v>S.US.INTC</v>
      </c>
      <c r="G19" t="str">
        <f t="shared" si="0"/>
        <v>Information Technology</v>
      </c>
      <c r="H19">
        <f t="shared" si="8"/>
        <v>18</v>
      </c>
      <c r="I19" t="e">
        <f t="shared" si="1"/>
        <v>#N/A</v>
      </c>
      <c r="J19" t="e">
        <f t="shared" si="2"/>
        <v>#N/A</v>
      </c>
      <c r="K19" t="e">
        <f>COUNTIF($J$2:J19,J19)&amp;"-"&amp;J19</f>
        <v>#N/A</v>
      </c>
      <c r="L19" t="e">
        <f t="shared" si="3"/>
        <v>#N/A</v>
      </c>
      <c r="M19" s="2" t="e">
        <f>RTD("cqg.rtd", ,"ContractData",L19, "PerCentNetLastTrade",, "T")/100</f>
        <v>#N/A</v>
      </c>
      <c r="N19" t="str">
        <f>"9-"&amp;"Consumer Discretionary"</f>
        <v>9-Consumer Discretionary</v>
      </c>
      <c r="O19" t="e">
        <f t="shared" si="4"/>
        <v>#N/A</v>
      </c>
      <c r="P19" s="2" t="e">
        <f>RTD("cqg.rtd", ,"ContractData",O19, "PerCentNetLastTrade",, "T")/100</f>
        <v>#N/A</v>
      </c>
      <c r="Q19" t="e">
        <f t="shared" si="5"/>
        <v>#N/A</v>
      </c>
    </row>
    <row r="20" spans="1:17" x14ac:dyDescent="0.3">
      <c r="A20" t="s">
        <v>19</v>
      </c>
      <c r="B20" t="str">
        <f>RTD("cqg.rtd", ,"ContractData",A20, "LongDescription",, "T")</f>
        <v>Linde PLC</v>
      </c>
      <c r="C20" s="1" t="s">
        <v>111</v>
      </c>
      <c r="D20" s="2" t="e">
        <f>RTD("cqg.rtd", ,"ContractData",A20, "PerCentNetLastTrade",, "T")/100</f>
        <v>#VALUE!</v>
      </c>
      <c r="E20" t="e">
        <f>RANK($D20,$D$2:D$104)+COUNTIF($D$2:D20,D20)-1</f>
        <v>#VALUE!</v>
      </c>
      <c r="F20" t="str">
        <f t="shared" si="7"/>
        <v>S.US.LIN</v>
      </c>
      <c r="G20" t="str">
        <f t="shared" si="0"/>
        <v>Materials</v>
      </c>
      <c r="H20">
        <f t="shared" si="8"/>
        <v>19</v>
      </c>
      <c r="I20" t="e">
        <f t="shared" si="1"/>
        <v>#N/A</v>
      </c>
      <c r="J20" t="e">
        <f t="shared" si="2"/>
        <v>#N/A</v>
      </c>
      <c r="K20" t="e">
        <f>COUNTIF($J$2:J20,J20)&amp;"-"&amp;J20</f>
        <v>#N/A</v>
      </c>
      <c r="L20" t="e">
        <f t="shared" si="3"/>
        <v>#N/A</v>
      </c>
      <c r="M20" s="2" t="e">
        <f>RTD("cqg.rtd", ,"ContractData",L20, "PerCentNetLastTrade",, "T")/100</f>
        <v>#N/A</v>
      </c>
      <c r="N20" t="str">
        <f>"10-"&amp;"Consumer Discretionary"</f>
        <v>10-Consumer Discretionary</v>
      </c>
      <c r="O20" t="e">
        <f t="shared" si="4"/>
        <v>#N/A</v>
      </c>
      <c r="P20" s="2" t="e">
        <f>RTD("cqg.rtd", ,"ContractData",O20, "PerCentNetLastTrade",, "T")/100</f>
        <v>#N/A</v>
      </c>
      <c r="Q20" t="e">
        <f t="shared" si="5"/>
        <v>#N/A</v>
      </c>
    </row>
    <row r="21" spans="1:17" x14ac:dyDescent="0.3">
      <c r="A21" t="s">
        <v>20</v>
      </c>
      <c r="B21" t="str">
        <f>RTD("cqg.rtd", ,"ContractData",A21, "LongDescription",, "T")</f>
        <v>KLA CP CMN STK</v>
      </c>
      <c r="C21" s="1" t="s">
        <v>107</v>
      </c>
      <c r="D21" s="2" t="e">
        <f>RTD("cqg.rtd", ,"ContractData",A21, "PerCentNetLastTrade",, "T")/100</f>
        <v>#VALUE!</v>
      </c>
      <c r="E21" t="e">
        <f>RANK($D21,$D$2:D$104)+COUNTIF($D$2:D21,D21)-1</f>
        <v>#VALUE!</v>
      </c>
      <c r="F21" t="str">
        <f t="shared" si="7"/>
        <v>S.US.KLAC</v>
      </c>
      <c r="G21" t="str">
        <f t="shared" si="0"/>
        <v>Information Technology</v>
      </c>
      <c r="H21">
        <f t="shared" si="8"/>
        <v>20</v>
      </c>
      <c r="I21" t="e">
        <f t="shared" si="1"/>
        <v>#N/A</v>
      </c>
      <c r="J21" t="e">
        <f t="shared" si="2"/>
        <v>#N/A</v>
      </c>
      <c r="K21" t="e">
        <f>COUNTIF($J$2:J21,J21)&amp;"-"&amp;J21</f>
        <v>#N/A</v>
      </c>
      <c r="L21" t="e">
        <f t="shared" si="3"/>
        <v>#N/A</v>
      </c>
      <c r="M21" s="2" t="e">
        <f>RTD("cqg.rtd", ,"ContractData",L21, "PerCentNetLastTrade",, "T")/100</f>
        <v>#N/A</v>
      </c>
      <c r="N21" t="str">
        <f>"11-"&amp;"Consumer Discretionary"</f>
        <v>11-Consumer Discretionary</v>
      </c>
      <c r="O21" t="e">
        <f t="shared" si="4"/>
        <v>#N/A</v>
      </c>
      <c r="P21" s="2" t="e">
        <f>RTD("cqg.rtd", ,"ContractData",O21, "PerCentNetLastTrade",, "T")/100</f>
        <v>#N/A</v>
      </c>
      <c r="Q21" t="e">
        <f t="shared" si="5"/>
        <v>#N/A</v>
      </c>
    </row>
    <row r="22" spans="1:17" x14ac:dyDescent="0.3">
      <c r="A22" t="s">
        <v>21</v>
      </c>
      <c r="B22" t="str">
        <f>RTD("cqg.rtd", ,"ContractData",A22, "LongDescription",, "T")</f>
        <v>T-MOBILE US CMN</v>
      </c>
      <c r="C22" s="1" t="s">
        <v>109</v>
      </c>
      <c r="D22" s="2" t="e">
        <f>RTD("cqg.rtd", ,"ContractData",A22, "PerCentNetLastTrade",, "T")/100</f>
        <v>#VALUE!</v>
      </c>
      <c r="E22" t="e">
        <f>RANK($D22,$D$2:D$104)+COUNTIF($D$2:D22,D22)-1</f>
        <v>#VALUE!</v>
      </c>
      <c r="F22" t="str">
        <f t="shared" si="7"/>
        <v>S.US.TMUS</v>
      </c>
      <c r="G22" t="str">
        <f t="shared" si="0"/>
        <v>Communication Services</v>
      </c>
      <c r="H22">
        <f t="shared" si="8"/>
        <v>21</v>
      </c>
      <c r="I22" t="e">
        <f t="shared" si="1"/>
        <v>#N/A</v>
      </c>
      <c r="J22" t="e">
        <f t="shared" si="2"/>
        <v>#N/A</v>
      </c>
      <c r="K22" t="e">
        <f>COUNTIF($J$2:J22,J22)&amp;"-"&amp;J22</f>
        <v>#N/A</v>
      </c>
      <c r="L22" t="e">
        <f t="shared" si="3"/>
        <v>#N/A</v>
      </c>
      <c r="M22" s="2" t="e">
        <f>RTD("cqg.rtd", ,"ContractData",L22, "PerCentNetLastTrade",, "T")/100</f>
        <v>#N/A</v>
      </c>
      <c r="N22" t="str">
        <f>"12-"&amp;"Consumer Discretionary"</f>
        <v>12-Consumer Discretionary</v>
      </c>
      <c r="O22" t="e">
        <f t="shared" si="4"/>
        <v>#N/A</v>
      </c>
      <c r="P22" s="2" t="e">
        <f>RTD("cqg.rtd", ,"ContractData",O22, "PerCentNetLastTrade",, "T")/100</f>
        <v>#N/A</v>
      </c>
      <c r="Q22" t="e">
        <f t="shared" si="5"/>
        <v>#N/A</v>
      </c>
    </row>
    <row r="23" spans="1:17" x14ac:dyDescent="0.3">
      <c r="A23" t="s">
        <v>22</v>
      </c>
      <c r="B23" t="str">
        <f>RTD("cqg.rtd", ,"ContractData",A23, "LongDescription",, "T")</f>
        <v>PepsiCo Inc</v>
      </c>
      <c r="C23" s="1" t="s">
        <v>110</v>
      </c>
      <c r="D23" s="2" t="e">
        <f>RTD("cqg.rtd", ,"ContractData",A23, "PerCentNetLastTrade",, "T")/100</f>
        <v>#VALUE!</v>
      </c>
      <c r="E23" t="e">
        <f>RANK($D23,$D$2:D$104)+COUNTIF($D$2:D23,D23)-1</f>
        <v>#VALUE!</v>
      </c>
      <c r="F23" t="str">
        <f t="shared" si="7"/>
        <v>S.US.PEP</v>
      </c>
      <c r="G23" t="str">
        <f t="shared" si="0"/>
        <v>Consumer Staples</v>
      </c>
      <c r="H23">
        <f t="shared" si="8"/>
        <v>22</v>
      </c>
      <c r="I23" t="e">
        <f t="shared" si="1"/>
        <v>#N/A</v>
      </c>
      <c r="J23" t="e">
        <f t="shared" si="2"/>
        <v>#N/A</v>
      </c>
      <c r="K23" t="e">
        <f>COUNTIF($J$2:J23,J23)&amp;"-"&amp;J23</f>
        <v>#N/A</v>
      </c>
      <c r="L23" t="e">
        <f t="shared" si="3"/>
        <v>#N/A</v>
      </c>
      <c r="M23" s="2" t="e">
        <f>RTD("cqg.rtd", ,"ContractData",L23, "PerCentNetLastTrade",, "T")/100</f>
        <v>#N/A</v>
      </c>
      <c r="N23" t="str">
        <f>"13-"&amp;"Consumer Discretionary"</f>
        <v>13-Consumer Discretionary</v>
      </c>
      <c r="O23" t="e">
        <f t="shared" si="4"/>
        <v>#N/A</v>
      </c>
      <c r="P23" s="2" t="e">
        <f>RTD("cqg.rtd", ,"ContractData",O23, "PerCentNetLastTrade",, "T")/100</f>
        <v>#N/A</v>
      </c>
      <c r="Q23" t="e">
        <f t="shared" si="5"/>
        <v>#N/A</v>
      </c>
    </row>
    <row r="24" spans="1:17" x14ac:dyDescent="0.3">
      <c r="A24" t="s">
        <v>23</v>
      </c>
      <c r="B24" t="str">
        <f>RTD("cqg.rtd", ,"ContractData",A24, "LongDescription",, "T")</f>
        <v>TEXAS INSTRUMENTS</v>
      </c>
      <c r="C24" s="1" t="s">
        <v>107</v>
      </c>
      <c r="D24" s="2" t="e">
        <f>RTD("cqg.rtd", ,"ContractData",A24, "PerCentNetLastTrade",, "T")/100</f>
        <v>#VALUE!</v>
      </c>
      <c r="E24" t="e">
        <f>RANK($D24,$D$2:D$104)+COUNTIF($D$2:D24,D24)-1</f>
        <v>#VALUE!</v>
      </c>
      <c r="F24" t="str">
        <f t="shared" si="7"/>
        <v>S.US.TXN</v>
      </c>
      <c r="G24" t="str">
        <f t="shared" si="0"/>
        <v>Information Technology</v>
      </c>
      <c r="H24">
        <f t="shared" si="8"/>
        <v>23</v>
      </c>
      <c r="I24" t="e">
        <f t="shared" si="1"/>
        <v>#N/A</v>
      </c>
      <c r="J24" t="e">
        <f t="shared" si="2"/>
        <v>#N/A</v>
      </c>
      <c r="K24" t="e">
        <f>COUNTIF($J$2:J24,J24)&amp;"-"&amp;J24</f>
        <v>#N/A</v>
      </c>
      <c r="L24" t="e">
        <f t="shared" si="3"/>
        <v>#N/A</v>
      </c>
      <c r="M24" s="2" t="e">
        <f>RTD("cqg.rtd", ,"ContractData",L24, "PerCentNetLastTrade",, "T")/100</f>
        <v>#N/A</v>
      </c>
      <c r="N24" t="str">
        <f>"1-"&amp;"Consumer Staples"</f>
        <v>1-Consumer Staples</v>
      </c>
      <c r="O24" t="e">
        <f t="shared" si="4"/>
        <v>#N/A</v>
      </c>
      <c r="P24" s="2" t="e">
        <f>RTD("cqg.rtd", ,"ContractData",O24, "PerCentNetLastTrade",, "T")/100</f>
        <v>#N/A</v>
      </c>
      <c r="Q24" t="e">
        <f t="shared" si="5"/>
        <v>#N/A</v>
      </c>
    </row>
    <row r="25" spans="1:17" x14ac:dyDescent="0.3">
      <c r="A25" t="s">
        <v>24</v>
      </c>
      <c r="B25" t="str">
        <f>RTD("cqg.rtd", ,"ContractData",A25, "LongDescription",, "T")</f>
        <v>AMGEN</v>
      </c>
      <c r="C25" s="1" t="s">
        <v>112</v>
      </c>
      <c r="D25" s="2" t="e">
        <f>RTD("cqg.rtd", ,"ContractData",A25, "PerCentNetLastTrade",, "T")/100</f>
        <v>#VALUE!</v>
      </c>
      <c r="E25" t="e">
        <f>RANK($D25,$D$2:D$104)+COUNTIF($D$2:D25,D25)-1</f>
        <v>#VALUE!</v>
      </c>
      <c r="F25" t="str">
        <f t="shared" si="7"/>
        <v>S.US.AMGN</v>
      </c>
      <c r="G25" t="str">
        <f t="shared" si="0"/>
        <v>Health Care</v>
      </c>
      <c r="H25">
        <f t="shared" si="8"/>
        <v>24</v>
      </c>
      <c r="I25" t="e">
        <f t="shared" si="1"/>
        <v>#N/A</v>
      </c>
      <c r="J25" t="e">
        <f t="shared" si="2"/>
        <v>#N/A</v>
      </c>
      <c r="K25" t="e">
        <f>COUNTIF($J$2:J25,J25)&amp;"-"&amp;J25</f>
        <v>#N/A</v>
      </c>
      <c r="L25" t="e">
        <f t="shared" si="3"/>
        <v>#N/A</v>
      </c>
      <c r="M25" s="2" t="e">
        <f>RTD("cqg.rtd", ,"ContractData",L25, "PerCentNetLastTrade",, "T")/100</f>
        <v>#N/A</v>
      </c>
      <c r="N25" t="str">
        <f>"2-"&amp;"Consumer Staples"</f>
        <v>2-Consumer Staples</v>
      </c>
      <c r="O25" t="e">
        <f t="shared" si="4"/>
        <v>#N/A</v>
      </c>
      <c r="P25" s="2" t="e">
        <f>RTD("cqg.rtd", ,"ContractData",O25, "PerCentNetLastTrade",, "T")/100</f>
        <v>#N/A</v>
      </c>
      <c r="Q25" t="e">
        <f t="shared" si="5"/>
        <v>#N/A</v>
      </c>
    </row>
    <row r="26" spans="1:17" x14ac:dyDescent="0.3">
      <c r="A26" t="s">
        <v>25</v>
      </c>
      <c r="B26" t="str">
        <f>RTD("cqg.rtd", ,"ContractData",A26, "LongDescription",, "T")</f>
        <v>GILEAD SCIENCES, INC</v>
      </c>
      <c r="C26" s="1" t="s">
        <v>112</v>
      </c>
      <c r="D26" s="2" t="e">
        <f>RTD("cqg.rtd", ,"ContractData",A26, "PerCentNetLastTrade",, "T")/100</f>
        <v>#VALUE!</v>
      </c>
      <c r="E26" t="e">
        <f>RANK($D26,$D$2:D$104)+COUNTIF($D$2:D26,D26)-1</f>
        <v>#VALUE!</v>
      </c>
      <c r="F26" t="str">
        <f t="shared" si="7"/>
        <v>S.US.GILD</v>
      </c>
      <c r="G26" t="str">
        <f t="shared" si="0"/>
        <v>Health Care</v>
      </c>
      <c r="H26">
        <f t="shared" si="8"/>
        <v>25</v>
      </c>
      <c r="I26" t="e">
        <f t="shared" si="1"/>
        <v>#N/A</v>
      </c>
      <c r="J26" t="e">
        <f t="shared" si="2"/>
        <v>#N/A</v>
      </c>
      <c r="K26" t="e">
        <f>COUNTIF($J$2:J26,J26)&amp;"-"&amp;J26</f>
        <v>#N/A</v>
      </c>
      <c r="L26" t="e">
        <f t="shared" si="3"/>
        <v>#N/A</v>
      </c>
      <c r="M26" s="2" t="e">
        <f>RTD("cqg.rtd", ,"ContractData",L26, "PerCentNetLastTrade",, "T")/100</f>
        <v>#N/A</v>
      </c>
      <c r="N26" t="str">
        <f>"3-"&amp;"Consumer Staples"</f>
        <v>3-Consumer Staples</v>
      </c>
      <c r="O26" t="e">
        <f t="shared" si="4"/>
        <v>#N/A</v>
      </c>
      <c r="P26" s="2" t="e">
        <f>RTD("cqg.rtd", ,"ContractData",O26, "PerCentNetLastTrade",, "T")/100</f>
        <v>#N/A</v>
      </c>
      <c r="Q26" t="e">
        <f t="shared" si="5"/>
        <v>#N/A</v>
      </c>
    </row>
    <row r="27" spans="1:17" x14ac:dyDescent="0.3">
      <c r="A27" t="s">
        <v>26</v>
      </c>
      <c r="B27" t="str">
        <f>RTD("cqg.rtd", ,"ContractData",A27, "LongDescription",, "T")</f>
        <v>Analog Devices Inc</v>
      </c>
      <c r="C27" s="1" t="s">
        <v>107</v>
      </c>
      <c r="D27" s="2" t="e">
        <f>RTD("cqg.rtd", ,"ContractData",A27, "PerCentNetLastTrade",, "T")/100</f>
        <v>#VALUE!</v>
      </c>
      <c r="E27" t="e">
        <f>RANK($D27,$D$2:D$104)+COUNTIF($D$2:D27,D27)-1</f>
        <v>#VALUE!</v>
      </c>
      <c r="F27" t="str">
        <f t="shared" si="7"/>
        <v>S.US.ADI</v>
      </c>
      <c r="G27" t="str">
        <f t="shared" si="0"/>
        <v>Information Technology</v>
      </c>
      <c r="H27">
        <f t="shared" si="8"/>
        <v>26</v>
      </c>
      <c r="I27" t="e">
        <f t="shared" si="1"/>
        <v>#N/A</v>
      </c>
      <c r="J27" t="e">
        <f t="shared" si="2"/>
        <v>#N/A</v>
      </c>
      <c r="K27" t="e">
        <f>COUNTIF($J$2:J27,J27)&amp;"-"&amp;J27</f>
        <v>#N/A</v>
      </c>
      <c r="L27" t="e">
        <f t="shared" si="3"/>
        <v>#N/A</v>
      </c>
      <c r="M27" s="2" t="e">
        <f>RTD("cqg.rtd", ,"ContractData",L27, "PerCentNetLastTrade",, "T")/100</f>
        <v>#N/A</v>
      </c>
      <c r="N27" t="str">
        <f>"4-"&amp;"Consumer Staples"</f>
        <v>4-Consumer Staples</v>
      </c>
      <c r="O27" t="e">
        <f t="shared" si="4"/>
        <v>#N/A</v>
      </c>
      <c r="P27" s="2" t="e">
        <f>RTD("cqg.rtd", ,"ContractData",O27, "PerCentNetLastTrade",, "T")/100</f>
        <v>#N/A</v>
      </c>
      <c r="Q27" t="e">
        <f t="shared" si="5"/>
        <v>#N/A</v>
      </c>
    </row>
    <row r="28" spans="1:17" x14ac:dyDescent="0.3">
      <c r="A28" t="s">
        <v>27</v>
      </c>
      <c r="B28" t="str">
        <f>RTD("cqg.rtd", ,"ContractData",A28, "LongDescription",, "T")</f>
        <v>INTUITIVE SURG, INC.</v>
      </c>
      <c r="C28" s="1" t="s">
        <v>112</v>
      </c>
      <c r="D28" s="2" t="e">
        <f>RTD("cqg.rtd", ,"ContractData",A28, "PerCentNetLastTrade",, "T")/100</f>
        <v>#VALUE!</v>
      </c>
      <c r="E28" t="e">
        <f>RANK($D28,$D$2:D$104)+COUNTIF($D$2:D28,D28)-1</f>
        <v>#VALUE!</v>
      </c>
      <c r="F28" t="str">
        <f t="shared" si="7"/>
        <v>S.US.ISRG</v>
      </c>
      <c r="G28" t="str">
        <f t="shared" si="0"/>
        <v>Health Care</v>
      </c>
      <c r="H28">
        <f t="shared" si="8"/>
        <v>27</v>
      </c>
      <c r="I28" t="e">
        <f t="shared" si="1"/>
        <v>#N/A</v>
      </c>
      <c r="J28" t="e">
        <f t="shared" si="2"/>
        <v>#N/A</v>
      </c>
      <c r="K28" t="e">
        <f>COUNTIF($J$2:J28,J28)&amp;"-"&amp;J28</f>
        <v>#N/A</v>
      </c>
      <c r="L28" t="e">
        <f t="shared" si="3"/>
        <v>#N/A</v>
      </c>
      <c r="M28" s="2" t="e">
        <f>RTD("cqg.rtd", ,"ContractData",L28, "PerCentNetLastTrade",, "T")/100</f>
        <v>#N/A</v>
      </c>
      <c r="N28" t="str">
        <f>"5-"&amp;"Consumer Staples"</f>
        <v>5-Consumer Staples</v>
      </c>
      <c r="O28" t="e">
        <f t="shared" si="4"/>
        <v>#N/A</v>
      </c>
      <c r="P28" s="2" t="e">
        <f>RTD("cqg.rtd", ,"ContractData",O28, "PerCentNetLastTrade",, "T")/100</f>
        <v>#N/A</v>
      </c>
      <c r="Q28" t="e">
        <f t="shared" si="5"/>
        <v>#N/A</v>
      </c>
    </row>
    <row r="29" spans="1:17" x14ac:dyDescent="0.3">
      <c r="A29" t="s">
        <v>28</v>
      </c>
      <c r="B29" t="str">
        <f>RTD("cqg.rtd", ,"ContractData",A29, "LongDescription",, "T")</f>
        <v>ARM HOLDINGS PLC ADS</v>
      </c>
      <c r="C29" s="1" t="s">
        <v>107</v>
      </c>
      <c r="D29" s="2" t="e">
        <f>RTD("cqg.rtd", ,"ContractData",A29, "PerCentNetLastTrade",, "T")/100</f>
        <v>#VALUE!</v>
      </c>
      <c r="E29" t="e">
        <f>RANK($D29,$D$2:D$104)+COUNTIF($D$2:D29,D29)-1</f>
        <v>#VALUE!</v>
      </c>
      <c r="F29" t="str">
        <f t="shared" si="7"/>
        <v>S.US.ARM</v>
      </c>
      <c r="G29" t="str">
        <f t="shared" si="0"/>
        <v>Information Technology</v>
      </c>
      <c r="H29">
        <f t="shared" si="8"/>
        <v>28</v>
      </c>
      <c r="I29" t="e">
        <f t="shared" si="1"/>
        <v>#N/A</v>
      </c>
      <c r="J29" t="e">
        <f t="shared" si="2"/>
        <v>#N/A</v>
      </c>
      <c r="K29" t="e">
        <f>COUNTIF($J$2:J29,J29)&amp;"-"&amp;J29</f>
        <v>#N/A</v>
      </c>
      <c r="L29" t="e">
        <f t="shared" si="3"/>
        <v>#N/A</v>
      </c>
      <c r="M29" s="2" t="e">
        <f>RTD("cqg.rtd", ,"ContractData",L29, "PerCentNetLastTrade",, "T")/100</f>
        <v>#N/A</v>
      </c>
      <c r="N29" t="str">
        <f>"6-"&amp;"Consumer Staples"</f>
        <v>6-Consumer Staples</v>
      </c>
      <c r="O29" t="e">
        <f t="shared" si="4"/>
        <v>#N/A</v>
      </c>
      <c r="P29" s="2" t="e">
        <f>RTD("cqg.rtd", ,"ContractData",O29, "PerCentNetLastTrade",, "T")/100</f>
        <v>#N/A</v>
      </c>
      <c r="Q29" t="e">
        <f t="shared" si="5"/>
        <v>#N/A</v>
      </c>
    </row>
    <row r="30" spans="1:17" x14ac:dyDescent="0.3">
      <c r="A30" t="s">
        <v>29</v>
      </c>
      <c r="B30" t="str">
        <f>RTD("cqg.rtd", ,"ContractData",A30, "LongDescription",, "T")</f>
        <v>Shopify Inc.</v>
      </c>
      <c r="C30" s="1" t="s">
        <v>107</v>
      </c>
      <c r="D30" s="2" t="e">
        <f>RTD("cqg.rtd", ,"ContractData",A30, "PerCentNetLastTrade",, "T")/100</f>
        <v>#VALUE!</v>
      </c>
      <c r="E30" t="e">
        <f>RANK($D30,$D$2:D$104)+COUNTIF($D$2:D30,D30)-1</f>
        <v>#VALUE!</v>
      </c>
      <c r="F30" t="str">
        <f t="shared" si="7"/>
        <v>S.US.SHOP</v>
      </c>
      <c r="G30" t="str">
        <f t="shared" si="0"/>
        <v>Information Technology</v>
      </c>
      <c r="H30">
        <f t="shared" si="8"/>
        <v>29</v>
      </c>
      <c r="I30" t="e">
        <f t="shared" si="1"/>
        <v>#N/A</v>
      </c>
      <c r="J30" t="e">
        <f t="shared" si="2"/>
        <v>#N/A</v>
      </c>
      <c r="K30" t="e">
        <f>COUNTIF($J$2:J30,J30)&amp;"-"&amp;J30</f>
        <v>#N/A</v>
      </c>
      <c r="L30" t="e">
        <f t="shared" si="3"/>
        <v>#N/A</v>
      </c>
      <c r="M30" s="2" t="e">
        <f>RTD("cqg.rtd", ,"ContractData",L30, "PerCentNetLastTrade",, "T")/100</f>
        <v>#N/A</v>
      </c>
      <c r="N30" t="str">
        <f>"7-"&amp;"Consumer Staples"</f>
        <v>7-Consumer Staples</v>
      </c>
      <c r="O30" t="e">
        <f t="shared" si="4"/>
        <v>#N/A</v>
      </c>
      <c r="P30" s="2" t="e">
        <f>RTD("cqg.rtd", ,"ContractData",O30, "PerCentNetLastTrade",, "T")/100</f>
        <v>#N/A</v>
      </c>
      <c r="Q30" t="e">
        <f t="shared" si="5"/>
        <v>#N/A</v>
      </c>
    </row>
    <row r="31" spans="1:17" x14ac:dyDescent="0.3">
      <c r="A31" t="s">
        <v>30</v>
      </c>
      <c r="B31" t="str">
        <f>RTD("cqg.rtd", ,"ContractData",A31, "LongDescription",, "T")</f>
        <v>HONEYWELL INTL INC</v>
      </c>
      <c r="C31" s="1" t="s">
        <v>113</v>
      </c>
      <c r="D31" s="2" t="e">
        <f>RTD("cqg.rtd", ,"ContractData",A31, "PerCentNetLastTrade",, "T")/100</f>
        <v>#VALUE!</v>
      </c>
      <c r="E31" t="e">
        <f>RANK($D31,$D$2:D$104)+COUNTIF($D$2:D31,D31)-1</f>
        <v>#VALUE!</v>
      </c>
      <c r="F31" t="str">
        <f t="shared" si="7"/>
        <v>S.US.HON</v>
      </c>
      <c r="G31" t="str">
        <f t="shared" si="0"/>
        <v>Industrials</v>
      </c>
      <c r="H31">
        <f t="shared" si="8"/>
        <v>30</v>
      </c>
      <c r="I31" t="e">
        <f t="shared" si="1"/>
        <v>#N/A</v>
      </c>
      <c r="J31" t="e">
        <f t="shared" si="2"/>
        <v>#N/A</v>
      </c>
      <c r="K31" t="e">
        <f>COUNTIF($J$2:J31,J31)&amp;"-"&amp;J31</f>
        <v>#N/A</v>
      </c>
      <c r="L31" t="e">
        <f t="shared" si="3"/>
        <v>#N/A</v>
      </c>
      <c r="M31" s="2" t="e">
        <f>RTD("cqg.rtd", ,"ContractData",L31, "PerCentNetLastTrade",, "T")/100</f>
        <v>#N/A</v>
      </c>
      <c r="N31" t="str">
        <f>"8-"&amp;"Consumer Staples"</f>
        <v>8-Consumer Staples</v>
      </c>
      <c r="O31" t="e">
        <f t="shared" si="4"/>
        <v>#N/A</v>
      </c>
      <c r="P31" s="2" t="e">
        <f>RTD("cqg.rtd", ,"ContractData",O31, "PerCentNetLastTrade",, "T")/100</f>
        <v>#N/A</v>
      </c>
      <c r="Q31" t="e">
        <f t="shared" si="5"/>
        <v>#N/A</v>
      </c>
    </row>
    <row r="32" spans="1:17" x14ac:dyDescent="0.3">
      <c r="A32" t="s">
        <v>31</v>
      </c>
      <c r="B32" t="str">
        <f>RTD("cqg.rtd", ,"ContractData",A32, "LongDescription",, "T")</f>
        <v>PDD HOLDINGS INC ADS</v>
      </c>
      <c r="C32" s="1" t="s">
        <v>108</v>
      </c>
      <c r="D32" s="2" t="e">
        <f>RTD("cqg.rtd", ,"ContractData",A32, "PerCentNetLastTrade",, "T")/100</f>
        <v>#VALUE!</v>
      </c>
      <c r="E32" t="e">
        <f>RANK($D32,$D$2:D$104)+COUNTIF($D$2:D32,D32)-1</f>
        <v>#VALUE!</v>
      </c>
      <c r="F32" t="str">
        <f t="shared" si="7"/>
        <v>S.US.PDD</v>
      </c>
      <c r="G32" t="str">
        <f t="shared" si="0"/>
        <v>Consumer Discretionary</v>
      </c>
      <c r="H32">
        <f t="shared" si="8"/>
        <v>31</v>
      </c>
      <c r="I32" t="e">
        <f t="shared" si="1"/>
        <v>#N/A</v>
      </c>
      <c r="J32" t="e">
        <f t="shared" si="2"/>
        <v>#N/A</v>
      </c>
      <c r="K32" t="e">
        <f>COUNTIF($J$2:J32,J32)&amp;"-"&amp;J32</f>
        <v>#N/A</v>
      </c>
      <c r="L32" t="e">
        <f t="shared" si="3"/>
        <v>#N/A</v>
      </c>
      <c r="M32" s="2" t="e">
        <f>RTD("cqg.rtd", ,"ContractData",L32, "PerCentNetLastTrade",, "T")/100</f>
        <v>#N/A</v>
      </c>
      <c r="N32" t="str">
        <f>"9-"&amp;"Consumer Staples"</f>
        <v>9-Consumer Staples</v>
      </c>
      <c r="O32" t="e">
        <f t="shared" si="4"/>
        <v>#N/A</v>
      </c>
      <c r="P32" s="2" t="e">
        <f>RTD("cqg.rtd", ,"ContractData",O32, "PerCentNetLastTrade",, "T")/100</f>
        <v>#N/A</v>
      </c>
      <c r="Q32" t="e">
        <f t="shared" si="5"/>
        <v>#N/A</v>
      </c>
    </row>
    <row r="33" spans="1:17" x14ac:dyDescent="0.3">
      <c r="A33" t="s">
        <v>32</v>
      </c>
      <c r="B33" t="str">
        <f>RTD("cqg.rtd", ,"ContractData",A33, "LongDescription",, "T")</f>
        <v>BOOKING HOLDINGS INC</v>
      </c>
      <c r="C33" s="1" t="s">
        <v>108</v>
      </c>
      <c r="D33" s="2" t="e">
        <f>RTD("cqg.rtd", ,"ContractData",A33, "PerCentNetLastTrade",, "T")/100</f>
        <v>#VALUE!</v>
      </c>
      <c r="E33" t="e">
        <f>RANK($D33,$D$2:D$104)+COUNTIF($D$2:D33,D33)-1</f>
        <v>#VALUE!</v>
      </c>
      <c r="F33" t="str">
        <f t="shared" si="7"/>
        <v>S.US.BKNG</v>
      </c>
      <c r="G33" t="str">
        <f t="shared" si="0"/>
        <v>Consumer Discretionary</v>
      </c>
      <c r="H33">
        <f t="shared" si="8"/>
        <v>32</v>
      </c>
      <c r="I33" t="e">
        <f t="shared" si="1"/>
        <v>#N/A</v>
      </c>
      <c r="J33" t="e">
        <f t="shared" si="2"/>
        <v>#N/A</v>
      </c>
      <c r="K33" t="e">
        <f>COUNTIF($J$2:J33,J33)&amp;"-"&amp;J33</f>
        <v>#N/A</v>
      </c>
      <c r="L33" t="e">
        <f t="shared" si="3"/>
        <v>#N/A</v>
      </c>
      <c r="M33" s="2" t="e">
        <f>RTD("cqg.rtd", ,"ContractData",L33, "PerCentNetLastTrade",, "T")/100</f>
        <v>#N/A</v>
      </c>
      <c r="N33" t="str">
        <f>"10-"&amp;"Consumer Staples"</f>
        <v>10-Consumer Staples</v>
      </c>
      <c r="O33" t="e">
        <f t="shared" si="4"/>
        <v>#N/A</v>
      </c>
      <c r="P33" s="2" t="e">
        <f>RTD("cqg.rtd", ,"ContractData",O33, "PerCentNetLastTrade",, "T")/100</f>
        <v>#N/A</v>
      </c>
      <c r="Q33" t="e">
        <f t="shared" si="5"/>
        <v>#N/A</v>
      </c>
    </row>
    <row r="34" spans="1:17" x14ac:dyDescent="0.3">
      <c r="A34" t="s">
        <v>33</v>
      </c>
      <c r="B34" t="str">
        <f>RTD("cqg.rtd", ,"ContractData",A34, "LongDescription",, "T")</f>
        <v>PALO ALTO NTWKS CM</v>
      </c>
      <c r="C34" s="1" t="s">
        <v>107</v>
      </c>
      <c r="D34" s="2" t="e">
        <f>RTD("cqg.rtd", ,"ContractData",A34, "PerCentNetLastTrade",, "T")/100</f>
        <v>#VALUE!</v>
      </c>
      <c r="E34" t="e">
        <f>RANK($D34,$D$2:D$104)+COUNTIF($D$2:D34,D34)-1</f>
        <v>#VALUE!</v>
      </c>
      <c r="F34" t="str">
        <f t="shared" si="7"/>
        <v>S.US.PANW</v>
      </c>
      <c r="G34" t="str">
        <f t="shared" si="0"/>
        <v>Information Technology</v>
      </c>
      <c r="H34">
        <f t="shared" si="8"/>
        <v>33</v>
      </c>
      <c r="I34" t="e">
        <f t="shared" si="1"/>
        <v>#N/A</v>
      </c>
      <c r="J34" t="e">
        <f t="shared" si="2"/>
        <v>#N/A</v>
      </c>
      <c r="K34" t="e">
        <f>COUNTIF($J$2:J34,J34)&amp;"-"&amp;J34</f>
        <v>#N/A</v>
      </c>
      <c r="L34" t="e">
        <f t="shared" si="3"/>
        <v>#N/A</v>
      </c>
      <c r="M34" s="2" t="e">
        <f>RTD("cqg.rtd", ,"ContractData",L34, "PerCentNetLastTrade",, "T")/100</f>
        <v>#N/A</v>
      </c>
      <c r="N34" t="str">
        <f>"1-"&amp;"Energy"</f>
        <v>1-Energy</v>
      </c>
      <c r="O34" t="e">
        <f t="shared" si="4"/>
        <v>#N/A</v>
      </c>
      <c r="P34" s="2" t="e">
        <f>RTD("cqg.rtd", ,"ContractData",O34, "PerCentNetLastTrade",, "T")/100</f>
        <v>#N/A</v>
      </c>
      <c r="Q34" t="e">
        <f t="shared" si="5"/>
        <v>#N/A</v>
      </c>
    </row>
    <row r="35" spans="1:17" x14ac:dyDescent="0.3">
      <c r="A35" t="s">
        <v>34</v>
      </c>
      <c r="B35" t="str">
        <f>RTD("cqg.rtd", ,"ContractData",A35, "LongDescription",, "T")</f>
        <v>QUALCOMM Inc</v>
      </c>
      <c r="C35" s="1" t="s">
        <v>107</v>
      </c>
      <c r="D35" s="2" t="e">
        <f>RTD("cqg.rtd", ,"ContractData",A35, "PerCentNetLastTrade",, "T")/100</f>
        <v>#VALUE!</v>
      </c>
      <c r="E35" t="e">
        <f>RANK($D35,$D$2:D$104)+COUNTIF($D$2:D35,D35)-1</f>
        <v>#VALUE!</v>
      </c>
      <c r="F35" t="str">
        <f t="shared" si="7"/>
        <v>S.US.QCOM</v>
      </c>
      <c r="G35" t="str">
        <f t="shared" si="0"/>
        <v>Information Technology</v>
      </c>
      <c r="H35">
        <f t="shared" si="8"/>
        <v>34</v>
      </c>
      <c r="I35" t="e">
        <f t="shared" si="1"/>
        <v>#N/A</v>
      </c>
      <c r="J35" t="e">
        <f t="shared" si="2"/>
        <v>#N/A</v>
      </c>
      <c r="K35" t="e">
        <f>COUNTIF($J$2:J35,J35)&amp;"-"&amp;J35</f>
        <v>#N/A</v>
      </c>
      <c r="L35" t="e">
        <f t="shared" si="3"/>
        <v>#N/A</v>
      </c>
      <c r="M35" s="2" t="e">
        <f>RTD("cqg.rtd", ,"ContractData",L35, "PerCentNetLastTrade",, "T")/100</f>
        <v>#N/A</v>
      </c>
      <c r="N35" t="str">
        <f>"2-"&amp;"Energy"</f>
        <v>2-Energy</v>
      </c>
      <c r="O35" t="e">
        <f t="shared" si="4"/>
        <v>#N/A</v>
      </c>
      <c r="P35" s="2" t="e">
        <f>RTD("cqg.rtd", ,"ContractData",O35, "PerCentNetLastTrade",, "T")/100</f>
        <v>#N/A</v>
      </c>
      <c r="Q35" t="e">
        <f t="shared" si="5"/>
        <v>#N/A</v>
      </c>
    </row>
    <row r="36" spans="1:17" x14ac:dyDescent="0.3">
      <c r="A36" t="s">
        <v>35</v>
      </c>
      <c r="B36" t="str">
        <f>RTD("cqg.rtd", ,"ContractData",A36, "LongDescription",, "T")</f>
        <v>APPLOVIN CORP CLA CM</v>
      </c>
      <c r="C36" s="1" t="s">
        <v>107</v>
      </c>
      <c r="D36" s="2" t="e">
        <f>RTD("cqg.rtd", ,"ContractData",A36, "PerCentNetLastTrade",, "T")/100</f>
        <v>#VALUE!</v>
      </c>
      <c r="E36" t="e">
        <f>RANK($D36,$D$2:D$104)+COUNTIF($D$2:D36,D36)-1</f>
        <v>#VALUE!</v>
      </c>
      <c r="F36" t="str">
        <f t="shared" si="7"/>
        <v>S.US.APP</v>
      </c>
      <c r="G36" t="str">
        <f t="shared" si="0"/>
        <v>Information Technology</v>
      </c>
      <c r="H36">
        <f t="shared" si="8"/>
        <v>35</v>
      </c>
      <c r="I36" t="e">
        <f t="shared" si="1"/>
        <v>#N/A</v>
      </c>
      <c r="J36" t="e">
        <f t="shared" si="2"/>
        <v>#N/A</v>
      </c>
      <c r="K36" t="e">
        <f>COUNTIF($J$2:J36,J36)&amp;"-"&amp;J36</f>
        <v>#N/A</v>
      </c>
      <c r="L36" t="e">
        <f t="shared" si="3"/>
        <v>#N/A</v>
      </c>
      <c r="M36" s="2" t="e">
        <f>RTD("cqg.rtd", ,"ContractData",L36, "PerCentNetLastTrade",, "T")/100</f>
        <v>#N/A</v>
      </c>
      <c r="N36" t="str">
        <f>"1-"&amp;"Financials"</f>
        <v>1-Financials</v>
      </c>
      <c r="O36" t="e">
        <f t="shared" si="4"/>
        <v>#N/A</v>
      </c>
      <c r="P36" s="2" t="e">
        <f>RTD("cqg.rtd", ,"ContractData",O36, "PerCentNetLastTrade",, "T")/100</f>
        <v>#N/A</v>
      </c>
      <c r="Q36" t="e">
        <f t="shared" si="5"/>
        <v>#N/A</v>
      </c>
    </row>
    <row r="37" spans="1:17" x14ac:dyDescent="0.3">
      <c r="A37" t="s">
        <v>36</v>
      </c>
      <c r="B37" t="str">
        <f>RTD("cqg.rtd", ,"ContractData",A37, "LongDescription",, "T")</f>
        <v>WESTERN DIGITAL CP</v>
      </c>
      <c r="C37" s="1" t="s">
        <v>107</v>
      </c>
      <c r="D37" s="2" t="e">
        <f>RTD("cqg.rtd", ,"ContractData",A37, "PerCentNetLastTrade",, "T")/100</f>
        <v>#VALUE!</v>
      </c>
      <c r="E37" t="e">
        <f>RANK($D37,$D$2:D$104)+COUNTIF($D$2:D37,D37)-1</f>
        <v>#VALUE!</v>
      </c>
      <c r="F37" t="str">
        <f t="shared" si="7"/>
        <v>S.US.WDC</v>
      </c>
      <c r="G37" t="str">
        <f t="shared" si="0"/>
        <v>Information Technology</v>
      </c>
      <c r="H37">
        <f t="shared" si="8"/>
        <v>36</v>
      </c>
      <c r="I37" t="e">
        <f t="shared" si="1"/>
        <v>#N/A</v>
      </c>
      <c r="J37" t="e">
        <f t="shared" si="2"/>
        <v>#N/A</v>
      </c>
      <c r="K37" t="e">
        <f>COUNTIF($J$2:J37,J37)&amp;"-"&amp;J37</f>
        <v>#N/A</v>
      </c>
      <c r="L37" t="e">
        <f t="shared" si="3"/>
        <v>#N/A</v>
      </c>
      <c r="M37" s="2" t="e">
        <f>RTD("cqg.rtd", ,"ContractData",L37, "PerCentNetLastTrade",, "T")/100</f>
        <v>#N/A</v>
      </c>
      <c r="N37" t="str">
        <f>"1-"&amp;"Health Care"</f>
        <v>1-Health Care</v>
      </c>
      <c r="O37" t="e">
        <f t="shared" si="4"/>
        <v>#N/A</v>
      </c>
      <c r="P37" s="2" t="e">
        <f>RTD("cqg.rtd", ,"ContractData",O37, "PerCentNetLastTrade",, "T")/100</f>
        <v>#N/A</v>
      </c>
      <c r="Q37" t="e">
        <f t="shared" si="5"/>
        <v>#N/A</v>
      </c>
    </row>
    <row r="38" spans="1:17" x14ac:dyDescent="0.3">
      <c r="A38" t="s">
        <v>37</v>
      </c>
      <c r="B38" t="str">
        <f>RTD("cqg.rtd", ,"ContractData",A38, "LongDescription",, "T")</f>
        <v>SEAGATE TCH HLDGS OR</v>
      </c>
      <c r="C38" s="1" t="s">
        <v>107</v>
      </c>
      <c r="D38" s="2" t="e">
        <f>RTD("cqg.rtd", ,"ContractData",A38, "PerCentNetLastTrade",, "T")/100</f>
        <v>#VALUE!</v>
      </c>
      <c r="E38" t="e">
        <f>RANK($D38,$D$2:D$104)+COUNTIF($D$2:D38,D38)-1</f>
        <v>#VALUE!</v>
      </c>
      <c r="F38" t="str">
        <f t="shared" si="7"/>
        <v>S.US.STX</v>
      </c>
      <c r="G38" t="str">
        <f t="shared" si="0"/>
        <v>Information Technology</v>
      </c>
      <c r="H38">
        <f t="shared" si="8"/>
        <v>37</v>
      </c>
      <c r="I38" t="e">
        <f t="shared" si="1"/>
        <v>#N/A</v>
      </c>
      <c r="J38" t="e">
        <f t="shared" si="2"/>
        <v>#N/A</v>
      </c>
      <c r="K38" t="e">
        <f>COUNTIF($J$2:J38,J38)&amp;"-"&amp;J38</f>
        <v>#N/A</v>
      </c>
      <c r="L38" t="e">
        <f t="shared" si="3"/>
        <v>#N/A</v>
      </c>
      <c r="M38" s="2" t="e">
        <f>RTD("cqg.rtd", ,"ContractData",L38, "PerCentNetLastTrade",, "T")/100</f>
        <v>#N/A</v>
      </c>
      <c r="N38" t="str">
        <f>"2-"&amp;"Health Care"</f>
        <v>2-Health Care</v>
      </c>
      <c r="O38" t="e">
        <f t="shared" si="4"/>
        <v>#N/A</v>
      </c>
      <c r="P38" s="2" t="e">
        <f>RTD("cqg.rtd", ,"ContractData",O38, "PerCentNetLastTrade",, "T")/100</f>
        <v>#N/A</v>
      </c>
      <c r="Q38" t="e">
        <f t="shared" si="5"/>
        <v>#N/A</v>
      </c>
    </row>
    <row r="39" spans="1:17" x14ac:dyDescent="0.3">
      <c r="A39" t="s">
        <v>38</v>
      </c>
      <c r="B39" t="str">
        <f>RTD("cqg.rtd", ,"ContractData",A39, "LongDescription",, "T")</f>
        <v>VERTEX PHARMACEUTIC</v>
      </c>
      <c r="C39" s="1" t="s">
        <v>112</v>
      </c>
      <c r="D39" s="2" t="e">
        <f>RTD("cqg.rtd", ,"ContractData",A39, "PerCentNetLastTrade",, "T")/100</f>
        <v>#VALUE!</v>
      </c>
      <c r="E39" t="e">
        <f>RANK($D39,$D$2:D$104)+COUNTIF($D$2:D39,D39)-1</f>
        <v>#VALUE!</v>
      </c>
      <c r="F39" t="str">
        <f t="shared" si="7"/>
        <v>S.US.VRTX</v>
      </c>
      <c r="G39" t="str">
        <f t="shared" si="0"/>
        <v>Health Care</v>
      </c>
      <c r="H39">
        <f t="shared" si="8"/>
        <v>38</v>
      </c>
      <c r="I39" t="e">
        <f t="shared" si="1"/>
        <v>#N/A</v>
      </c>
      <c r="J39" t="e">
        <f t="shared" si="2"/>
        <v>#N/A</v>
      </c>
      <c r="K39" t="e">
        <f>COUNTIF($J$2:J39,J39)&amp;"-"&amp;J39</f>
        <v>#N/A</v>
      </c>
      <c r="L39" t="e">
        <f t="shared" si="3"/>
        <v>#N/A</v>
      </c>
      <c r="M39" s="2" t="e">
        <f>RTD("cqg.rtd", ,"ContractData",L39, "PerCentNetLastTrade",, "T")/100</f>
        <v>#N/A</v>
      </c>
      <c r="N39" t="str">
        <f>"3-"&amp;"Health Care"</f>
        <v>3-Health Care</v>
      </c>
      <c r="O39" t="e">
        <f t="shared" si="4"/>
        <v>#N/A</v>
      </c>
      <c r="P39" s="2" t="e">
        <f>RTD("cqg.rtd", ,"ContractData",O39, "PerCentNetLastTrade",, "T")/100</f>
        <v>#N/A</v>
      </c>
      <c r="Q39" t="e">
        <f t="shared" si="5"/>
        <v>#N/A</v>
      </c>
    </row>
    <row r="40" spans="1:17" x14ac:dyDescent="0.3">
      <c r="A40" t="s">
        <v>39</v>
      </c>
      <c r="B40" t="str">
        <f>RTD("cqg.rtd", ,"ContractData",A40, "LongDescription",, "T")</f>
        <v>Starbucks Corp</v>
      </c>
      <c r="C40" s="1" t="s">
        <v>108</v>
      </c>
      <c r="D40" s="2" t="e">
        <f>RTD("cqg.rtd", ,"ContractData",A40, "PerCentNetLastTrade",, "T")/100</f>
        <v>#VALUE!</v>
      </c>
      <c r="E40" t="e">
        <f>RANK($D40,$D$2:D$104)+COUNTIF($D$2:D40,D40)-1</f>
        <v>#VALUE!</v>
      </c>
      <c r="F40" t="str">
        <f t="shared" si="7"/>
        <v>S.US.SBUX</v>
      </c>
      <c r="G40" t="str">
        <f t="shared" si="0"/>
        <v>Consumer Discretionary</v>
      </c>
      <c r="H40">
        <f t="shared" si="8"/>
        <v>39</v>
      </c>
      <c r="I40" t="e">
        <f t="shared" si="1"/>
        <v>#N/A</v>
      </c>
      <c r="J40" t="e">
        <f t="shared" si="2"/>
        <v>#N/A</v>
      </c>
      <c r="K40" t="e">
        <f>COUNTIF($J$2:J40,J40)&amp;"-"&amp;J40</f>
        <v>#N/A</v>
      </c>
      <c r="L40" t="e">
        <f t="shared" si="3"/>
        <v>#N/A</v>
      </c>
      <c r="M40" s="2" t="e">
        <f>RTD("cqg.rtd", ,"ContractData",L40, "PerCentNetLastTrade",, "T")/100</f>
        <v>#N/A</v>
      </c>
      <c r="N40" t="str">
        <f>"4-"&amp;"Health Care"</f>
        <v>4-Health Care</v>
      </c>
      <c r="O40" t="e">
        <f t="shared" si="4"/>
        <v>#N/A</v>
      </c>
      <c r="P40" s="2" t="e">
        <f>RTD("cqg.rtd", ,"ContractData",O40, "PerCentNetLastTrade",, "T")/100</f>
        <v>#N/A</v>
      </c>
      <c r="Q40" t="e">
        <f t="shared" si="5"/>
        <v>#N/A</v>
      </c>
    </row>
    <row r="41" spans="1:17" x14ac:dyDescent="0.3">
      <c r="A41" t="s">
        <v>40</v>
      </c>
      <c r="B41" t="str">
        <f>RTD("cqg.rtd", ,"ContractData",A41, "LongDescription",, "T")</f>
        <v>CROWDSTRIKE HLD CM A</v>
      </c>
      <c r="C41" s="1" t="s">
        <v>107</v>
      </c>
      <c r="D41" s="2" t="e">
        <f>RTD("cqg.rtd", ,"ContractData",A41, "PerCentNetLastTrade",, "T")/100</f>
        <v>#VALUE!</v>
      </c>
      <c r="E41" t="e">
        <f>RANK($D41,$D$2:D$104)+COUNTIF($D$2:D41,D41)-1</f>
        <v>#VALUE!</v>
      </c>
      <c r="F41" t="str">
        <f t="shared" si="7"/>
        <v>S.US.CRWD</v>
      </c>
      <c r="G41" t="str">
        <f t="shared" si="0"/>
        <v>Information Technology</v>
      </c>
      <c r="H41">
        <f t="shared" si="8"/>
        <v>40</v>
      </c>
      <c r="I41" t="e">
        <f t="shared" si="1"/>
        <v>#N/A</v>
      </c>
      <c r="J41" t="e">
        <f t="shared" si="2"/>
        <v>#N/A</v>
      </c>
      <c r="K41" t="e">
        <f>COUNTIF($J$2:J41,J41)&amp;"-"&amp;J41</f>
        <v>#N/A</v>
      </c>
      <c r="L41" t="e">
        <f t="shared" si="3"/>
        <v>#N/A</v>
      </c>
      <c r="M41" s="2" t="e">
        <f>RTD("cqg.rtd", ,"ContractData",L41, "PerCentNetLastTrade",, "T")/100</f>
        <v>#N/A</v>
      </c>
      <c r="N41" t="str">
        <f>"5-"&amp;"Health Care"</f>
        <v>5-Health Care</v>
      </c>
      <c r="O41" t="e">
        <f t="shared" si="4"/>
        <v>#N/A</v>
      </c>
      <c r="P41" s="2" t="e">
        <f>RTD("cqg.rtd", ,"ContractData",O41, "PerCentNetLastTrade",, "T")/100</f>
        <v>#N/A</v>
      </c>
      <c r="Q41" t="e">
        <f t="shared" si="5"/>
        <v>#N/A</v>
      </c>
    </row>
    <row r="42" spans="1:17" x14ac:dyDescent="0.3">
      <c r="A42" t="s">
        <v>41</v>
      </c>
      <c r="B42" t="str">
        <f>RTD("cqg.rtd", ,"ContractData",A42, "LongDescription",, "T")</f>
        <v>INTUIT INC</v>
      </c>
      <c r="C42" s="1" t="s">
        <v>107</v>
      </c>
      <c r="D42" s="2" t="e">
        <f>RTD("cqg.rtd", ,"ContractData",A42, "PerCentNetLastTrade",, "T")/100</f>
        <v>#VALUE!</v>
      </c>
      <c r="E42" t="e">
        <f>RANK($D42,$D$2:D$104)+COUNTIF($D$2:D42,D42)-1</f>
        <v>#VALUE!</v>
      </c>
      <c r="F42" t="str">
        <f t="shared" si="7"/>
        <v>S.US.INTU</v>
      </c>
      <c r="G42" t="str">
        <f t="shared" si="0"/>
        <v>Information Technology</v>
      </c>
      <c r="H42">
        <f t="shared" si="8"/>
        <v>41</v>
      </c>
      <c r="I42" t="e">
        <f t="shared" si="1"/>
        <v>#N/A</v>
      </c>
      <c r="J42" t="e">
        <f t="shared" si="2"/>
        <v>#N/A</v>
      </c>
      <c r="K42" t="e">
        <f>COUNTIF($J$2:J42,J42)&amp;"-"&amp;J42</f>
        <v>#N/A</v>
      </c>
      <c r="L42" t="e">
        <f t="shared" si="3"/>
        <v>#N/A</v>
      </c>
      <c r="M42" s="2" t="e">
        <f>RTD("cqg.rtd", ,"ContractData",L42, "PerCentNetLastTrade",, "T")/100</f>
        <v>#N/A</v>
      </c>
      <c r="N42" t="str">
        <f>"6-"&amp;"Health Care"</f>
        <v>6-Health Care</v>
      </c>
      <c r="O42" t="e">
        <f t="shared" si="4"/>
        <v>#N/A</v>
      </c>
      <c r="P42" s="2" t="e">
        <f>RTD("cqg.rtd", ,"ContractData",O42, "PerCentNetLastTrade",, "T")/100</f>
        <v>#N/A</v>
      </c>
      <c r="Q42" t="e">
        <f t="shared" si="5"/>
        <v>#N/A</v>
      </c>
    </row>
    <row r="43" spans="1:17" x14ac:dyDescent="0.3">
      <c r="A43" t="s">
        <v>42</v>
      </c>
      <c r="B43" t="str">
        <f>RTD("cqg.rtd", ,"ContractData",A43, "LongDescription",, "T")</f>
        <v>MARVELL TECH INC CMN</v>
      </c>
      <c r="C43" s="1" t="s">
        <v>107</v>
      </c>
      <c r="D43" s="2" t="e">
        <f>RTD("cqg.rtd", ,"ContractData",A43, "PerCentNetLastTrade",, "T")/100</f>
        <v>#VALUE!</v>
      </c>
      <c r="E43" t="e">
        <f>RANK($D43,$D$2:D$104)+COUNTIF($D$2:D43,D43)-1</f>
        <v>#VALUE!</v>
      </c>
      <c r="F43" t="str">
        <f t="shared" si="7"/>
        <v>S.US.MRVL</v>
      </c>
      <c r="G43" t="str">
        <f t="shared" si="0"/>
        <v>Information Technology</v>
      </c>
      <c r="H43">
        <f t="shared" si="8"/>
        <v>42</v>
      </c>
      <c r="I43" t="e">
        <f t="shared" si="1"/>
        <v>#N/A</v>
      </c>
      <c r="J43" t="e">
        <f t="shared" si="2"/>
        <v>#N/A</v>
      </c>
      <c r="K43" t="e">
        <f>COUNTIF($J$2:J43,J43)&amp;"-"&amp;J43</f>
        <v>#N/A</v>
      </c>
      <c r="L43" t="e">
        <f t="shared" si="3"/>
        <v>#N/A</v>
      </c>
      <c r="M43" s="2" t="e">
        <f>RTD("cqg.rtd", ,"ContractData",L43, "PerCentNetLastTrade",, "T")/100</f>
        <v>#N/A</v>
      </c>
      <c r="N43" t="str">
        <f>"7-"&amp;"Health Care"</f>
        <v>7-Health Care</v>
      </c>
      <c r="O43" t="e">
        <f t="shared" si="4"/>
        <v>#N/A</v>
      </c>
      <c r="P43" s="2" t="e">
        <f>RTD("cqg.rtd", ,"ContractData",O43, "PerCentNetLastTrade",, "T")/100</f>
        <v>#N/A</v>
      </c>
      <c r="Q43" t="e">
        <f t="shared" si="5"/>
        <v>#N/A</v>
      </c>
    </row>
    <row r="44" spans="1:17" x14ac:dyDescent="0.3">
      <c r="A44" t="s">
        <v>43</v>
      </c>
      <c r="B44" t="str">
        <f>RTD("cqg.rtd", ,"ContractData",A44, "LongDescription",, "T")</f>
        <v>CONSTELLATION EN CM</v>
      </c>
      <c r="C44" s="1" t="s">
        <v>114</v>
      </c>
      <c r="D44" s="2" t="e">
        <f>RTD("cqg.rtd", ,"ContractData",A44, "PerCentNetLastTrade",, "T")/100</f>
        <v>#VALUE!</v>
      </c>
      <c r="E44" t="e">
        <f>RANK($D44,$D$2:D$104)+COUNTIF($D$2:D44,D44)-1</f>
        <v>#VALUE!</v>
      </c>
      <c r="F44" t="str">
        <f t="shared" si="7"/>
        <v>S.US.CEG</v>
      </c>
      <c r="G44" t="str">
        <f t="shared" si="0"/>
        <v>Utilities</v>
      </c>
      <c r="H44">
        <f t="shared" si="8"/>
        <v>43</v>
      </c>
      <c r="I44" t="e">
        <f t="shared" si="1"/>
        <v>#N/A</v>
      </c>
      <c r="J44" t="e">
        <f t="shared" si="2"/>
        <v>#N/A</v>
      </c>
      <c r="K44" t="e">
        <f>COUNTIF($J$2:J44,J44)&amp;"-"&amp;J44</f>
        <v>#N/A</v>
      </c>
      <c r="L44" t="e">
        <f t="shared" si="3"/>
        <v>#N/A</v>
      </c>
      <c r="M44" s="2" t="e">
        <f>RTD("cqg.rtd", ,"ContractData",L44, "PerCentNetLastTrade",, "T")/100</f>
        <v>#N/A</v>
      </c>
      <c r="N44" t="str">
        <f>"8-"&amp;"Health Care"</f>
        <v>8-Health Care</v>
      </c>
      <c r="O44" t="e">
        <f t="shared" si="4"/>
        <v>#N/A</v>
      </c>
      <c r="P44" s="2" t="e">
        <f>RTD("cqg.rtd", ,"ContractData",O44, "PerCentNetLastTrade",, "T")/100</f>
        <v>#N/A</v>
      </c>
      <c r="Q44" t="e">
        <f t="shared" si="5"/>
        <v>#N/A</v>
      </c>
    </row>
    <row r="45" spans="1:17" x14ac:dyDescent="0.3">
      <c r="A45" t="s">
        <v>44</v>
      </c>
      <c r="B45" t="str">
        <f>RTD("cqg.rtd", ,"ContractData",A45, "LongDescription",, "T")</f>
        <v>COMCAST CORP A</v>
      </c>
      <c r="C45" s="1" t="s">
        <v>109</v>
      </c>
      <c r="D45" s="2" t="e">
        <f>RTD("cqg.rtd", ,"ContractData",A45, "PerCentNetLastTrade",, "T")/100</f>
        <v>#VALUE!</v>
      </c>
      <c r="E45" t="e">
        <f>RANK($D45,$D$2:D$104)+COUNTIF($D$2:D45,D45)-1</f>
        <v>#VALUE!</v>
      </c>
      <c r="F45" t="str">
        <f t="shared" si="7"/>
        <v>S.US.CMCSA</v>
      </c>
      <c r="G45" t="str">
        <f t="shared" si="0"/>
        <v>Communication Services</v>
      </c>
      <c r="H45">
        <f t="shared" si="8"/>
        <v>44</v>
      </c>
      <c r="I45" t="e">
        <f t="shared" si="1"/>
        <v>#N/A</v>
      </c>
      <c r="J45" t="e">
        <f t="shared" si="2"/>
        <v>#N/A</v>
      </c>
      <c r="K45" t="e">
        <f>COUNTIF($J$2:J45,J45)&amp;"-"&amp;J45</f>
        <v>#N/A</v>
      </c>
      <c r="L45" t="e">
        <f t="shared" si="3"/>
        <v>#N/A</v>
      </c>
      <c r="M45" s="2" t="e">
        <f>RTD("cqg.rtd", ,"ContractData",L45, "PerCentNetLastTrade",, "T")/100</f>
        <v>#N/A</v>
      </c>
      <c r="N45" t="str">
        <f>"9-"&amp;"Health Care"</f>
        <v>9-Health Care</v>
      </c>
      <c r="O45" t="e">
        <f t="shared" si="4"/>
        <v>#N/A</v>
      </c>
      <c r="P45" s="2" t="e">
        <f>RTD("cqg.rtd", ,"ContractData",O45, "PerCentNetLastTrade",, "T")/100</f>
        <v>#N/A</v>
      </c>
      <c r="Q45" t="e">
        <f t="shared" si="5"/>
        <v>#N/A</v>
      </c>
    </row>
    <row r="46" spans="1:17" x14ac:dyDescent="0.3">
      <c r="A46" t="s">
        <v>45</v>
      </c>
      <c r="B46" t="str">
        <f>RTD("cqg.rtd", ,"ContractData",A46, "LongDescription",, "T")</f>
        <v>Adobe Inc.</v>
      </c>
      <c r="C46" s="1" t="s">
        <v>107</v>
      </c>
      <c r="D46" s="2" t="e">
        <f>RTD("cqg.rtd", ,"ContractData",A46, "PerCentNetLastTrade",, "T")/100</f>
        <v>#VALUE!</v>
      </c>
      <c r="E46" t="e">
        <f>RANK($D46,$D$2:D$104)+COUNTIF($D$2:D46,D46)-1</f>
        <v>#VALUE!</v>
      </c>
      <c r="F46" t="str">
        <f t="shared" si="7"/>
        <v>S.US.ADBE</v>
      </c>
      <c r="G46" t="str">
        <f t="shared" si="0"/>
        <v>Information Technology</v>
      </c>
      <c r="H46">
        <f t="shared" si="8"/>
        <v>45</v>
      </c>
      <c r="I46" t="e">
        <f t="shared" si="1"/>
        <v>#N/A</v>
      </c>
      <c r="J46" t="e">
        <f t="shared" si="2"/>
        <v>#N/A</v>
      </c>
      <c r="K46" t="e">
        <f>COUNTIF($J$2:J46,J46)&amp;"-"&amp;J46</f>
        <v>#N/A</v>
      </c>
      <c r="L46" t="e">
        <f t="shared" si="3"/>
        <v>#N/A</v>
      </c>
      <c r="M46" s="2" t="e">
        <f>RTD("cqg.rtd", ,"ContractData",L46, "PerCentNetLastTrade",, "T")/100</f>
        <v>#N/A</v>
      </c>
      <c r="N46" t="str">
        <f>"10-"&amp;"Health Care"</f>
        <v>10-Health Care</v>
      </c>
      <c r="O46" t="e">
        <f t="shared" si="4"/>
        <v>#N/A</v>
      </c>
      <c r="P46" s="2" t="e">
        <f>RTD("cqg.rtd", ,"ContractData",O46, "PerCentNetLastTrade",, "T")/100</f>
        <v>#N/A</v>
      </c>
      <c r="Q46" t="e">
        <f t="shared" si="5"/>
        <v>#N/A</v>
      </c>
    </row>
    <row r="47" spans="1:17" x14ac:dyDescent="0.3">
      <c r="A47" t="s">
        <v>46</v>
      </c>
      <c r="B47" t="str">
        <f>RTD("cqg.rtd", ,"ContractData",A47, "LongDescription",, "T")</f>
        <v>MARRIOTT INT CL A CM</v>
      </c>
      <c r="C47" s="1" t="s">
        <v>108</v>
      </c>
      <c r="D47" s="2" t="e">
        <f>RTD("cqg.rtd", ,"ContractData",A47, "PerCentNetLastTrade",, "T")/100</f>
        <v>#VALUE!</v>
      </c>
      <c r="E47" t="e">
        <f>RANK($D47,$D$2:D$104)+COUNTIF($D$2:D47,D47)-1</f>
        <v>#VALUE!</v>
      </c>
      <c r="F47" t="str">
        <f t="shared" si="7"/>
        <v>S.US.MAR</v>
      </c>
      <c r="G47" t="str">
        <f t="shared" si="0"/>
        <v>Consumer Discretionary</v>
      </c>
      <c r="H47">
        <f t="shared" si="8"/>
        <v>46</v>
      </c>
      <c r="I47" t="e">
        <f t="shared" si="1"/>
        <v>#N/A</v>
      </c>
      <c r="J47" t="e">
        <f t="shared" si="2"/>
        <v>#N/A</v>
      </c>
      <c r="K47" t="e">
        <f>COUNTIF($J$2:J47,J47)&amp;"-"&amp;J47</f>
        <v>#N/A</v>
      </c>
      <c r="L47" t="e">
        <f t="shared" si="3"/>
        <v>#N/A</v>
      </c>
      <c r="M47" s="2" t="e">
        <f>RTD("cqg.rtd", ,"ContractData",L47, "PerCentNetLastTrade",, "T")/100</f>
        <v>#N/A</v>
      </c>
      <c r="N47" t="str">
        <f>"11-"&amp;"Health Care"</f>
        <v>11-Health Care</v>
      </c>
      <c r="O47" t="e">
        <f t="shared" si="4"/>
        <v>#N/A</v>
      </c>
      <c r="P47" s="2" t="e">
        <f>RTD("cqg.rtd", ,"ContractData",O47, "PerCentNetLastTrade",, "T")/100</f>
        <v>#N/A</v>
      </c>
      <c r="Q47" t="e">
        <f t="shared" si="5"/>
        <v>#N/A</v>
      </c>
    </row>
    <row r="48" spans="1:17" x14ac:dyDescent="0.3">
      <c r="A48" t="s">
        <v>47</v>
      </c>
      <c r="B48" t="str">
        <f>RTD("cqg.rtd", ,"ContractData",A48, "LongDescription",, "T")</f>
        <v>MERCADOLIBRE, INC.</v>
      </c>
      <c r="C48" s="1" t="s">
        <v>108</v>
      </c>
      <c r="D48" s="2" t="e">
        <f>RTD("cqg.rtd", ,"ContractData",A48, "PerCentNetLastTrade",, "T")/100</f>
        <v>#VALUE!</v>
      </c>
      <c r="E48" t="e">
        <f>RANK($D48,$D$2:D$104)+COUNTIF($D$2:D48,D48)-1</f>
        <v>#VALUE!</v>
      </c>
      <c r="F48" t="str">
        <f t="shared" si="7"/>
        <v>S.US.MELI</v>
      </c>
      <c r="G48" t="str">
        <f t="shared" si="0"/>
        <v>Consumer Discretionary</v>
      </c>
      <c r="H48">
        <f t="shared" si="8"/>
        <v>47</v>
      </c>
      <c r="I48" t="e">
        <f t="shared" si="1"/>
        <v>#N/A</v>
      </c>
      <c r="J48" t="e">
        <f t="shared" si="2"/>
        <v>#N/A</v>
      </c>
      <c r="K48" t="e">
        <f>COUNTIF($J$2:J48,J48)&amp;"-"&amp;J48</f>
        <v>#N/A</v>
      </c>
      <c r="L48" t="e">
        <f t="shared" si="3"/>
        <v>#N/A</v>
      </c>
      <c r="M48" s="2" t="e">
        <f>RTD("cqg.rtd", ,"ContractData",L48, "PerCentNetLastTrade",, "T")/100</f>
        <v>#N/A</v>
      </c>
      <c r="N48" t="str">
        <f>"12-"&amp;"Health Care"</f>
        <v>12-Health Care</v>
      </c>
      <c r="O48" t="e">
        <f t="shared" si="4"/>
        <v>#N/A</v>
      </c>
      <c r="P48" s="2" t="e">
        <f>RTD("cqg.rtd", ,"ContractData",O48, "PerCentNetLastTrade",, "T")/100</f>
        <v>#N/A</v>
      </c>
      <c r="Q48" t="e">
        <f t="shared" si="5"/>
        <v>#N/A</v>
      </c>
    </row>
    <row r="49" spans="1:17" x14ac:dyDescent="0.3">
      <c r="A49" t="s">
        <v>48</v>
      </c>
      <c r="B49" t="str">
        <f>RTD("cqg.rtd", ,"ContractData",A49, "LongDescription",, "T")</f>
        <v>REGENERON PHARMACEUT</v>
      </c>
      <c r="C49" s="1" t="s">
        <v>112</v>
      </c>
      <c r="D49" s="2" t="e">
        <f>RTD("cqg.rtd", ,"ContractData",A49, "PerCentNetLastTrade",, "T")/100</f>
        <v>#VALUE!</v>
      </c>
      <c r="E49" t="e">
        <f>RANK($D49,$D$2:D$104)+COUNTIF($D$2:D49,D49)-1</f>
        <v>#VALUE!</v>
      </c>
      <c r="F49" t="str">
        <f t="shared" si="7"/>
        <v>S.US.REGN</v>
      </c>
      <c r="G49" t="str">
        <f t="shared" si="0"/>
        <v>Health Care</v>
      </c>
      <c r="H49">
        <f t="shared" si="8"/>
        <v>48</v>
      </c>
      <c r="I49" t="e">
        <f t="shared" si="1"/>
        <v>#N/A</v>
      </c>
      <c r="J49" t="e">
        <f t="shared" si="2"/>
        <v>#N/A</v>
      </c>
      <c r="K49" t="e">
        <f>COUNTIF($J$2:J49,J49)&amp;"-"&amp;J49</f>
        <v>#N/A</v>
      </c>
      <c r="L49" t="e">
        <f t="shared" si="3"/>
        <v>#N/A</v>
      </c>
      <c r="M49" s="2" t="e">
        <f>RTD("cqg.rtd", ,"ContractData",L49, "PerCentNetLastTrade",, "T")/100</f>
        <v>#N/A</v>
      </c>
      <c r="N49" t="str">
        <f>"1-"&amp;"Industrials"</f>
        <v>1-Industrials</v>
      </c>
      <c r="O49" t="e">
        <f t="shared" si="4"/>
        <v>#N/A</v>
      </c>
      <c r="P49" s="2" t="e">
        <f>RTD("cqg.rtd", ,"ContractData",O49, "PerCentNetLastTrade",, "T")/100</f>
        <v>#N/A</v>
      </c>
      <c r="Q49" t="e">
        <f t="shared" si="5"/>
        <v>#N/A</v>
      </c>
    </row>
    <row r="50" spans="1:17" x14ac:dyDescent="0.3">
      <c r="A50" t="s">
        <v>49</v>
      </c>
      <c r="B50" t="str">
        <f>RTD("cqg.rtd", ,"ContractData",A50, "LongDescription",, "T")</f>
        <v>AUTOMATIC DATA PROCS</v>
      </c>
      <c r="C50" s="1" t="s">
        <v>107</v>
      </c>
      <c r="D50" s="2" t="e">
        <f>RTD("cqg.rtd", ,"ContractData",A50, "PerCentNetLastTrade",, "T")/100</f>
        <v>#VALUE!</v>
      </c>
      <c r="E50" t="e">
        <f>RANK($D50,$D$2:D$104)+COUNTIF($D$2:D50,D50)-1</f>
        <v>#VALUE!</v>
      </c>
      <c r="F50" t="str">
        <f t="shared" si="7"/>
        <v>S.US.ADP</v>
      </c>
      <c r="G50" t="str">
        <f t="shared" si="0"/>
        <v>Information Technology</v>
      </c>
      <c r="H50">
        <f t="shared" si="8"/>
        <v>49</v>
      </c>
      <c r="I50" t="e">
        <f t="shared" si="1"/>
        <v>#N/A</v>
      </c>
      <c r="J50" t="e">
        <f t="shared" si="2"/>
        <v>#N/A</v>
      </c>
      <c r="K50" t="e">
        <f>COUNTIF($J$2:J50,J50)&amp;"-"&amp;J50</f>
        <v>#N/A</v>
      </c>
      <c r="L50" t="e">
        <f t="shared" si="3"/>
        <v>#N/A</v>
      </c>
      <c r="M50" s="2" t="e">
        <f>RTD("cqg.rtd", ,"ContractData",L50, "PerCentNetLastTrade",, "T")/100</f>
        <v>#N/A</v>
      </c>
      <c r="N50" t="str">
        <f>"2-"&amp;"Industrials"</f>
        <v>2-Industrials</v>
      </c>
      <c r="O50" t="e">
        <f t="shared" si="4"/>
        <v>#N/A</v>
      </c>
      <c r="P50" s="2" t="e">
        <f>RTD("cqg.rtd", ,"ContractData",O50, "PerCentNetLastTrade",, "T")/100</f>
        <v>#N/A</v>
      </c>
      <c r="Q50" t="e">
        <f t="shared" si="5"/>
        <v>#N/A</v>
      </c>
    </row>
    <row r="51" spans="1:17" x14ac:dyDescent="0.3">
      <c r="A51" t="s">
        <v>50</v>
      </c>
      <c r="B51" t="str">
        <f>RTD("cqg.rtd", ,"ContractData",A51, "LongDescription",, "T")</f>
        <v>CADENCE DESIGN SYS</v>
      </c>
      <c r="C51" s="1" t="s">
        <v>107</v>
      </c>
      <c r="D51" s="2" t="e">
        <f>RTD("cqg.rtd", ,"ContractData",A51, "PerCentNetLastTrade",, "T")/100</f>
        <v>#VALUE!</v>
      </c>
      <c r="E51" t="e">
        <f>RANK($D51,$D$2:D$104)+COUNTIF($D$2:D51,D51)-1</f>
        <v>#VALUE!</v>
      </c>
      <c r="F51" t="str">
        <f t="shared" si="7"/>
        <v>S.US.CDNS</v>
      </c>
      <c r="G51" t="str">
        <f t="shared" si="0"/>
        <v>Information Technology</v>
      </c>
      <c r="H51">
        <f t="shared" si="8"/>
        <v>50</v>
      </c>
      <c r="I51" t="e">
        <f t="shared" si="1"/>
        <v>#N/A</v>
      </c>
      <c r="J51" t="e">
        <f t="shared" si="2"/>
        <v>#N/A</v>
      </c>
      <c r="K51" t="e">
        <f>COUNTIF($J$2:J51,J51)&amp;"-"&amp;J51</f>
        <v>#N/A</v>
      </c>
      <c r="L51" t="e">
        <f t="shared" si="3"/>
        <v>#N/A</v>
      </c>
      <c r="M51" s="2" t="e">
        <f>RTD("cqg.rtd", ,"ContractData",L51, "PerCentNetLastTrade",, "T")/100</f>
        <v>#N/A</v>
      </c>
      <c r="N51" t="str">
        <f>"3-"&amp;"Industrials"</f>
        <v>3-Industrials</v>
      </c>
      <c r="O51" t="e">
        <f t="shared" si="4"/>
        <v>#N/A</v>
      </c>
      <c r="P51" s="2" t="e">
        <f>RTD("cqg.rtd", ,"ContractData",O51, "PerCentNetLastTrade",, "T")/100</f>
        <v>#N/A</v>
      </c>
      <c r="Q51" t="e">
        <f t="shared" si="5"/>
        <v>#N/A</v>
      </c>
    </row>
    <row r="52" spans="1:17" x14ac:dyDescent="0.3">
      <c r="A52" t="s">
        <v>51</v>
      </c>
      <c r="B52" t="str">
        <f>RTD("cqg.rtd", ,"ContractData",A52, "LongDescription",, "T")</f>
        <v>Autodesk Inc</v>
      </c>
      <c r="C52" s="1" t="s">
        <v>107</v>
      </c>
      <c r="D52" s="2" t="e">
        <f>RTD("cqg.rtd", ,"ContractData",A52, "PerCentNetLastTrade",, "T")/100</f>
        <v>#VALUE!</v>
      </c>
      <c r="E52" t="e">
        <f>RANK($D52,$D$2:D$104)+COUNTIF($D$2:D52,D52)-1</f>
        <v>#VALUE!</v>
      </c>
      <c r="F52" t="str">
        <f t="shared" si="7"/>
        <v>S.US.ADSK</v>
      </c>
      <c r="G52" t="str">
        <f t="shared" si="0"/>
        <v>Information Technology</v>
      </c>
      <c r="H52">
        <f t="shared" si="8"/>
        <v>51</v>
      </c>
      <c r="I52" t="e">
        <f t="shared" si="1"/>
        <v>#N/A</v>
      </c>
      <c r="J52" t="e">
        <f t="shared" si="2"/>
        <v>#N/A</v>
      </c>
      <c r="K52" t="e">
        <f>COUNTIF($J$2:J52,J52)&amp;"-"&amp;J52</f>
        <v>#N/A</v>
      </c>
      <c r="L52" t="e">
        <f t="shared" si="3"/>
        <v>#N/A</v>
      </c>
      <c r="M52" s="2" t="e">
        <f>RTD("cqg.rtd", ,"ContractData",L52, "PerCentNetLastTrade",, "T")/100</f>
        <v>#N/A</v>
      </c>
      <c r="N52" t="str">
        <f>"4-"&amp;"Industrials"</f>
        <v>4-Industrials</v>
      </c>
      <c r="O52" t="e">
        <f t="shared" si="4"/>
        <v>#N/A</v>
      </c>
      <c r="P52" s="2" t="e">
        <f>RTD("cqg.rtd", ,"ContractData",O52, "PerCentNetLastTrade",, "T")/100</f>
        <v>#N/A</v>
      </c>
      <c r="Q52" t="e">
        <f t="shared" si="5"/>
        <v>#N/A</v>
      </c>
    </row>
    <row r="53" spans="1:17" x14ac:dyDescent="0.3">
      <c r="A53" t="s">
        <v>52</v>
      </c>
      <c r="B53" t="str">
        <f>RTD("cqg.rtd", ,"ContractData",A53, "LongDescription",, "T")</f>
        <v>ASML HLDG NY REG</v>
      </c>
      <c r="C53" s="1" t="s">
        <v>107</v>
      </c>
      <c r="D53" s="2" t="e">
        <f>RTD("cqg.rtd", ,"ContractData",A53, "PerCentNetLastTrade",, "T")/100</f>
        <v>#VALUE!</v>
      </c>
      <c r="E53" t="e">
        <f>RANK($D53,$D$2:D$104)+COUNTIF($D$2:D53,D53)-1</f>
        <v>#VALUE!</v>
      </c>
      <c r="F53" t="str">
        <f t="shared" si="7"/>
        <v>S.US.ASML</v>
      </c>
      <c r="G53" t="str">
        <f t="shared" si="0"/>
        <v>Information Technology</v>
      </c>
      <c r="H53">
        <f t="shared" si="8"/>
        <v>52</v>
      </c>
      <c r="I53" t="e">
        <f t="shared" si="1"/>
        <v>#N/A</v>
      </c>
      <c r="J53" t="e">
        <f t="shared" si="2"/>
        <v>#N/A</v>
      </c>
      <c r="K53" t="e">
        <f>COUNTIF($J$2:J53,J53)&amp;"-"&amp;J53</f>
        <v>#N/A</v>
      </c>
      <c r="L53" t="e">
        <f t="shared" si="3"/>
        <v>#N/A</v>
      </c>
      <c r="M53" s="2" t="e">
        <f>RTD("cqg.rtd", ,"ContractData",L53, "PerCentNetLastTrade",, "T")/100</f>
        <v>#N/A</v>
      </c>
      <c r="N53" t="str">
        <f>"5-"&amp;"Industrials"</f>
        <v>5-Industrials</v>
      </c>
      <c r="O53" t="e">
        <f t="shared" si="4"/>
        <v>#N/A</v>
      </c>
      <c r="P53" s="2" t="e">
        <f>RTD("cqg.rtd", ,"ContractData",O53, "PerCentNetLastTrade",, "T")/100</f>
        <v>#N/A</v>
      </c>
      <c r="Q53" t="e">
        <f t="shared" si="5"/>
        <v>#N/A</v>
      </c>
    </row>
    <row r="54" spans="1:17" x14ac:dyDescent="0.3">
      <c r="A54" t="s">
        <v>53</v>
      </c>
      <c r="B54" t="str">
        <f>RTD("cqg.rtd", ,"ContractData",A54, "LongDescription",, "T")</f>
        <v>CDW Corporation</v>
      </c>
      <c r="C54" s="1" t="s">
        <v>107</v>
      </c>
      <c r="D54" s="2" t="e">
        <f>RTD("cqg.rtd", ,"ContractData",A54, "PerCentNetLastTrade",, "T")/100</f>
        <v>#VALUE!</v>
      </c>
      <c r="E54" t="e">
        <f>RANK($D54,$D$2:D$104)+COUNTIF($D$2:D54,D54)-1</f>
        <v>#VALUE!</v>
      </c>
      <c r="F54" t="str">
        <f t="shared" si="7"/>
        <v>S.US.CDW</v>
      </c>
      <c r="G54" t="str">
        <f t="shared" si="0"/>
        <v>Information Technology</v>
      </c>
      <c r="H54">
        <f t="shared" si="8"/>
        <v>53</v>
      </c>
      <c r="I54" t="e">
        <f t="shared" si="1"/>
        <v>#N/A</v>
      </c>
      <c r="J54" t="e">
        <f t="shared" si="2"/>
        <v>#N/A</v>
      </c>
      <c r="K54" t="e">
        <f>COUNTIF($J$2:J54,J54)&amp;"-"&amp;J54</f>
        <v>#N/A</v>
      </c>
      <c r="L54" t="e">
        <f t="shared" si="3"/>
        <v>#N/A</v>
      </c>
      <c r="M54" s="2" t="e">
        <f>RTD("cqg.rtd", ,"ContractData",L54, "PerCentNetLastTrade",, "T")/100</f>
        <v>#N/A</v>
      </c>
      <c r="N54" t="str">
        <f>"6-"&amp;"Industrials"</f>
        <v>6-Industrials</v>
      </c>
      <c r="O54" t="e">
        <f t="shared" si="4"/>
        <v>#N/A</v>
      </c>
      <c r="P54" s="2" t="e">
        <f>RTD("cqg.rtd", ,"ContractData",O54, "PerCentNetLastTrade",, "T")/100</f>
        <v>#N/A</v>
      </c>
      <c r="Q54" t="e">
        <f t="shared" si="5"/>
        <v>#N/A</v>
      </c>
    </row>
    <row r="55" spans="1:17" x14ac:dyDescent="0.3">
      <c r="A55" t="s">
        <v>54</v>
      </c>
      <c r="B55" t="str">
        <f>RTD("cqg.rtd", ,"ContractData",A55, "LongDescription",, "T")</f>
        <v>COGNIZANT TECH SOL</v>
      </c>
      <c r="C55" s="1" t="s">
        <v>107</v>
      </c>
      <c r="D55" s="2" t="e">
        <f>RTD("cqg.rtd", ,"ContractData",A55, "PerCentNetLastTrade",, "T")/100</f>
        <v>#VALUE!</v>
      </c>
      <c r="E55" t="e">
        <f>RANK($D55,$D$2:D$104)+COUNTIF($D$2:D55,D55)-1</f>
        <v>#VALUE!</v>
      </c>
      <c r="F55" t="str">
        <f t="shared" si="7"/>
        <v>S.US.CTSH</v>
      </c>
      <c r="G55" t="str">
        <f t="shared" si="0"/>
        <v>Information Technology</v>
      </c>
      <c r="H55">
        <f t="shared" si="8"/>
        <v>54</v>
      </c>
      <c r="I55" t="e">
        <f t="shared" si="1"/>
        <v>#N/A</v>
      </c>
      <c r="J55" t="e">
        <f t="shared" si="2"/>
        <v>#N/A</v>
      </c>
      <c r="K55" t="e">
        <f>COUNTIF($J$2:J55,J55)&amp;"-"&amp;J55</f>
        <v>#N/A</v>
      </c>
      <c r="L55" t="e">
        <f t="shared" si="3"/>
        <v>#N/A</v>
      </c>
      <c r="M55" s="2" t="e">
        <f>RTD("cqg.rtd", ,"ContractData",L55, "PerCentNetLastTrade",, "T")/100</f>
        <v>#N/A</v>
      </c>
      <c r="N55" t="str">
        <f>"7-"&amp;"Industrials"</f>
        <v>7-Industrials</v>
      </c>
      <c r="O55" t="e">
        <f t="shared" si="4"/>
        <v>#N/A</v>
      </c>
      <c r="P55" s="2" t="e">
        <f>RTD("cqg.rtd", ,"ContractData",O55, "PerCentNetLastTrade",, "T")/100</f>
        <v>#N/A</v>
      </c>
      <c r="Q55" t="e">
        <f t="shared" si="5"/>
        <v>#N/A</v>
      </c>
    </row>
    <row r="56" spans="1:17" x14ac:dyDescent="0.3">
      <c r="A56" t="s">
        <v>55</v>
      </c>
      <c r="B56" t="str">
        <f>RTD("cqg.rtd", ,"ContractData",A56, "LongDescription",, "T")</f>
        <v>DATADOG INC.L A CM</v>
      </c>
      <c r="C56" s="1" t="s">
        <v>107</v>
      </c>
      <c r="D56" s="2" t="e">
        <f>RTD("cqg.rtd", ,"ContractData",A56, "PerCentNetLastTrade",, "T")/100</f>
        <v>#VALUE!</v>
      </c>
      <c r="E56" t="e">
        <f>RANK($D56,$D$2:D$104)+COUNTIF($D$2:D56,D56)-1</f>
        <v>#VALUE!</v>
      </c>
      <c r="F56" t="str">
        <f t="shared" si="7"/>
        <v>S.US.DDOG</v>
      </c>
      <c r="G56" t="str">
        <f t="shared" si="0"/>
        <v>Information Technology</v>
      </c>
      <c r="H56">
        <f t="shared" si="8"/>
        <v>55</v>
      </c>
      <c r="I56" t="e">
        <f t="shared" si="1"/>
        <v>#N/A</v>
      </c>
      <c r="J56" t="e">
        <f t="shared" si="2"/>
        <v>#N/A</v>
      </c>
      <c r="K56" t="e">
        <f>COUNTIF($J$2:J56,J56)&amp;"-"&amp;J56</f>
        <v>#N/A</v>
      </c>
      <c r="L56" t="e">
        <f t="shared" si="3"/>
        <v>#N/A</v>
      </c>
      <c r="M56" s="2" t="e">
        <f>RTD("cqg.rtd", ,"ContractData",L56, "PerCentNetLastTrade",, "T")/100</f>
        <v>#N/A</v>
      </c>
      <c r="N56" t="str">
        <f>"8-"&amp;"Industrials"</f>
        <v>8-Industrials</v>
      </c>
      <c r="O56" t="e">
        <f t="shared" si="4"/>
        <v>#N/A</v>
      </c>
      <c r="P56" s="2" t="e">
        <f>RTD("cqg.rtd", ,"ContractData",O56, "PerCentNetLastTrade",, "T")/100</f>
        <v>#N/A</v>
      </c>
      <c r="Q56" t="e">
        <f t="shared" si="5"/>
        <v>#N/A</v>
      </c>
    </row>
    <row r="57" spans="1:17" x14ac:dyDescent="0.3">
      <c r="A57" t="s">
        <v>56</v>
      </c>
      <c r="B57" t="str">
        <f>RTD("cqg.rtd", ,"ContractData",A57, "LongDescription",, "T")</f>
        <v>Fortinet, Inc.</v>
      </c>
      <c r="C57" s="1" t="s">
        <v>107</v>
      </c>
      <c r="D57" s="2" t="e">
        <f>RTD("cqg.rtd", ,"ContractData",A57, "PerCentNetLastTrade",, "T")/100</f>
        <v>#VALUE!</v>
      </c>
      <c r="E57" t="e">
        <f>RANK($D57,$D$2:D$104)+COUNTIF($D$2:D57,D57)-1</f>
        <v>#VALUE!</v>
      </c>
      <c r="F57" t="str">
        <f t="shared" si="7"/>
        <v>S.US.FTNT</v>
      </c>
      <c r="G57" t="str">
        <f t="shared" si="0"/>
        <v>Information Technology</v>
      </c>
      <c r="H57">
        <f t="shared" si="8"/>
        <v>56</v>
      </c>
      <c r="I57" t="e">
        <f t="shared" si="1"/>
        <v>#N/A</v>
      </c>
      <c r="J57" t="e">
        <f t="shared" si="2"/>
        <v>#N/A</v>
      </c>
      <c r="K57" t="e">
        <f>COUNTIF($J$2:J57,J57)&amp;"-"&amp;J57</f>
        <v>#N/A</v>
      </c>
      <c r="L57" t="e">
        <f t="shared" si="3"/>
        <v>#N/A</v>
      </c>
      <c r="M57" s="2" t="e">
        <f>RTD("cqg.rtd", ,"ContractData",L57, "PerCentNetLastTrade",, "T")/100</f>
        <v>#N/A</v>
      </c>
      <c r="N57" t="str">
        <f>"9-"&amp;"Industrials"</f>
        <v>9-Industrials</v>
      </c>
      <c r="O57" t="e">
        <f t="shared" si="4"/>
        <v>#N/A</v>
      </c>
      <c r="P57" s="2" t="e">
        <f>RTD("cqg.rtd", ,"ContractData",O57, "PerCentNetLastTrade",, "T")/100</f>
        <v>#N/A</v>
      </c>
      <c r="Q57" t="e">
        <f t="shared" si="5"/>
        <v>#N/A</v>
      </c>
    </row>
    <row r="58" spans="1:17" x14ac:dyDescent="0.3">
      <c r="A58" t="s">
        <v>57</v>
      </c>
      <c r="B58" t="str">
        <f>RTD("cqg.rtd", ,"ContractData",A58, "LongDescription",, "T")</f>
        <v>MICROCHIP TECHNOLOGY</v>
      </c>
      <c r="C58" s="1" t="s">
        <v>107</v>
      </c>
      <c r="D58" s="2" t="e">
        <f>RTD("cqg.rtd", ,"ContractData",A58, "PerCentNetLastTrade",, "T")/100</f>
        <v>#VALUE!</v>
      </c>
      <c r="E58" t="e">
        <f>RANK($D58,$D$2:D$104)+COUNTIF($D$2:D58,D58)-1</f>
        <v>#VALUE!</v>
      </c>
      <c r="F58" t="str">
        <f t="shared" si="7"/>
        <v>S.US.MCHP</v>
      </c>
      <c r="G58" t="str">
        <f t="shared" si="0"/>
        <v>Information Technology</v>
      </c>
      <c r="H58">
        <f t="shared" si="8"/>
        <v>57</v>
      </c>
      <c r="I58" t="e">
        <f t="shared" si="1"/>
        <v>#N/A</v>
      </c>
      <c r="J58" t="e">
        <f t="shared" si="2"/>
        <v>#N/A</v>
      </c>
      <c r="K58" t="e">
        <f>COUNTIF($J$2:J58,J58)&amp;"-"&amp;J58</f>
        <v>#N/A</v>
      </c>
      <c r="L58" t="e">
        <f t="shared" si="3"/>
        <v>#N/A</v>
      </c>
      <c r="M58" s="2" t="e">
        <f>RTD("cqg.rtd", ,"ContractData",L58, "PerCentNetLastTrade",, "T")/100</f>
        <v>#N/A</v>
      </c>
      <c r="N58" t="str">
        <f>"1-"&amp;"Information Technology"</f>
        <v>1-Information Technology</v>
      </c>
      <c r="O58" t="e">
        <f t="shared" si="4"/>
        <v>#N/A</v>
      </c>
      <c r="P58" s="2" t="e">
        <f>RTD("cqg.rtd", ,"ContractData",O58, "PerCentNetLastTrade",, "T")/100</f>
        <v>#N/A</v>
      </c>
      <c r="Q58" t="e">
        <f t="shared" si="5"/>
        <v>#N/A</v>
      </c>
    </row>
    <row r="59" spans="1:17" x14ac:dyDescent="0.3">
      <c r="A59" t="s">
        <v>58</v>
      </c>
      <c r="B59" t="str">
        <f>RTD("cqg.rtd", ,"ContractData",A59, "LongDescription",, "T")</f>
        <v>MONOLITHIC POWER SYS</v>
      </c>
      <c r="C59" s="1" t="s">
        <v>107</v>
      </c>
      <c r="D59" s="2" t="e">
        <f>RTD("cqg.rtd", ,"ContractData",A59, "PerCentNetLastTrade",, "T")/100</f>
        <v>#VALUE!</v>
      </c>
      <c r="E59" t="e">
        <f>RANK($D59,$D$2:D$104)+COUNTIF($D$2:D59,D59)-1</f>
        <v>#VALUE!</v>
      </c>
      <c r="F59" t="str">
        <f t="shared" si="7"/>
        <v>S.US.MPWR</v>
      </c>
      <c r="G59" t="str">
        <f t="shared" si="0"/>
        <v>Information Technology</v>
      </c>
      <c r="H59">
        <f t="shared" si="8"/>
        <v>58</v>
      </c>
      <c r="I59" t="e">
        <f t="shared" si="1"/>
        <v>#N/A</v>
      </c>
      <c r="J59" t="e">
        <f t="shared" si="2"/>
        <v>#N/A</v>
      </c>
      <c r="K59" t="e">
        <f>COUNTIF($J$2:J59,J59)&amp;"-"&amp;J59</f>
        <v>#N/A</v>
      </c>
      <c r="L59" t="e">
        <f t="shared" si="3"/>
        <v>#N/A</v>
      </c>
      <c r="M59" s="2" t="e">
        <f>RTD("cqg.rtd", ,"ContractData",L59, "PerCentNetLastTrade",, "T")/100</f>
        <v>#N/A</v>
      </c>
      <c r="N59" t="str">
        <f>"2-"&amp;"Information Technology"</f>
        <v>2-Information Technology</v>
      </c>
      <c r="O59" t="e">
        <f t="shared" si="4"/>
        <v>#N/A</v>
      </c>
      <c r="P59" s="2" t="e">
        <f>RTD("cqg.rtd", ,"ContractData",O59, "PerCentNetLastTrade",, "T")/100</f>
        <v>#N/A</v>
      </c>
      <c r="Q59" t="e">
        <f t="shared" si="5"/>
        <v>#N/A</v>
      </c>
    </row>
    <row r="60" spans="1:17" x14ac:dyDescent="0.3">
      <c r="A60" t="s">
        <v>59</v>
      </c>
      <c r="B60" t="str">
        <f>RTD("cqg.rtd", ,"ContractData",A60, "LongDescription",, "T")</f>
        <v>STRATEGY INC CL A CS</v>
      </c>
      <c r="C60" s="1" t="s">
        <v>107</v>
      </c>
      <c r="D60" s="2" t="e">
        <f>RTD("cqg.rtd", ,"ContractData",A60, "PerCentNetLastTrade",, "T")/100</f>
        <v>#VALUE!</v>
      </c>
      <c r="E60" t="e">
        <f>RANK($D60,$D$2:D$104)+COUNTIF($D$2:D60,D60)-1</f>
        <v>#VALUE!</v>
      </c>
      <c r="F60" t="str">
        <f t="shared" si="7"/>
        <v>S.US.MSTR</v>
      </c>
      <c r="G60" t="str">
        <f t="shared" si="0"/>
        <v>Information Technology</v>
      </c>
      <c r="H60">
        <f t="shared" si="8"/>
        <v>59</v>
      </c>
      <c r="I60" t="e">
        <f t="shared" si="1"/>
        <v>#N/A</v>
      </c>
      <c r="J60" t="e">
        <f t="shared" si="2"/>
        <v>#N/A</v>
      </c>
      <c r="K60" t="e">
        <f>COUNTIF($J$2:J60,J60)&amp;"-"&amp;J60</f>
        <v>#N/A</v>
      </c>
      <c r="L60" t="e">
        <f t="shared" si="3"/>
        <v>#N/A</v>
      </c>
      <c r="M60" s="2" t="e">
        <f>RTD("cqg.rtd", ,"ContractData",L60, "PerCentNetLastTrade",, "T")/100</f>
        <v>#N/A</v>
      </c>
      <c r="N60" t="str">
        <f>"3-"&amp;"Information Technology"</f>
        <v>3-Information Technology</v>
      </c>
      <c r="O60" t="e">
        <f t="shared" si="4"/>
        <v>#N/A</v>
      </c>
      <c r="P60" s="2" t="e">
        <f>RTD("cqg.rtd", ,"ContractData",O60, "PerCentNetLastTrade",, "T")/100</f>
        <v>#N/A</v>
      </c>
      <c r="Q60" t="e">
        <f t="shared" si="5"/>
        <v>#N/A</v>
      </c>
    </row>
    <row r="61" spans="1:17" x14ac:dyDescent="0.3">
      <c r="A61" t="s">
        <v>60</v>
      </c>
      <c r="B61" t="str">
        <f>RTD("cqg.rtd", ,"ContractData",A61, "LongDescription",, "T")</f>
        <v>MICRON TECHNOLOGY</v>
      </c>
      <c r="C61" s="1" t="s">
        <v>107</v>
      </c>
      <c r="D61" s="2" t="e">
        <f>RTD("cqg.rtd", ,"ContractData",A61, "PerCentNetLastTrade",, "T")/100</f>
        <v>#VALUE!</v>
      </c>
      <c r="E61" t="e">
        <f>RANK($D61,$D$2:D$104)+COUNTIF($D$2:D61,D61)-1</f>
        <v>#VALUE!</v>
      </c>
      <c r="F61" t="str">
        <f t="shared" si="7"/>
        <v>S.US.MU</v>
      </c>
      <c r="G61" t="str">
        <f t="shared" si="0"/>
        <v>Information Technology</v>
      </c>
      <c r="H61">
        <f t="shared" si="8"/>
        <v>60</v>
      </c>
      <c r="I61" t="e">
        <f t="shared" si="1"/>
        <v>#N/A</v>
      </c>
      <c r="J61" t="e">
        <f t="shared" si="2"/>
        <v>#N/A</v>
      </c>
      <c r="K61" t="e">
        <f>COUNTIF($J$2:J61,J61)&amp;"-"&amp;J61</f>
        <v>#N/A</v>
      </c>
      <c r="L61" t="e">
        <f t="shared" si="3"/>
        <v>#N/A</v>
      </c>
      <c r="M61" s="2" t="e">
        <f>RTD("cqg.rtd", ,"ContractData",L61, "PerCentNetLastTrade",, "T")/100</f>
        <v>#N/A</v>
      </c>
      <c r="N61" t="str">
        <f>"4-"&amp;"Information Technology"</f>
        <v>4-Information Technology</v>
      </c>
      <c r="O61" t="e">
        <f t="shared" si="4"/>
        <v>#N/A</v>
      </c>
      <c r="P61" s="2" t="e">
        <f>RTD("cqg.rtd", ,"ContractData",O61, "PerCentNetLastTrade",, "T")/100</f>
        <v>#N/A</v>
      </c>
      <c r="Q61" t="e">
        <f t="shared" si="5"/>
        <v>#N/A</v>
      </c>
    </row>
    <row r="62" spans="1:17" x14ac:dyDescent="0.3">
      <c r="A62" t="s">
        <v>61</v>
      </c>
      <c r="B62" t="str">
        <f>RTD("cqg.rtd", ,"ContractData",A62, "LongDescription",, "T")</f>
        <v>NXP SEMICONDUCTORS</v>
      </c>
      <c r="C62" s="1" t="s">
        <v>107</v>
      </c>
      <c r="D62" s="2" t="e">
        <f>RTD("cqg.rtd", ,"ContractData",A62, "PerCentNetLastTrade",, "T")/100</f>
        <v>#VALUE!</v>
      </c>
      <c r="E62" t="e">
        <f>RANK($D62,$D$2:D$104)+COUNTIF($D$2:D62,D62)-1</f>
        <v>#VALUE!</v>
      </c>
      <c r="F62" t="str">
        <f t="shared" si="7"/>
        <v>S.US.NXPI</v>
      </c>
      <c r="G62" t="str">
        <f t="shared" si="0"/>
        <v>Information Technology</v>
      </c>
      <c r="H62">
        <f t="shared" si="8"/>
        <v>61</v>
      </c>
      <c r="I62" t="e">
        <f t="shared" si="1"/>
        <v>#N/A</v>
      </c>
      <c r="J62" t="e">
        <f t="shared" si="2"/>
        <v>#N/A</v>
      </c>
      <c r="K62" t="e">
        <f>COUNTIF($J$2:J62,J62)&amp;"-"&amp;J62</f>
        <v>#N/A</v>
      </c>
      <c r="L62" t="e">
        <f t="shared" si="3"/>
        <v>#N/A</v>
      </c>
      <c r="M62" s="2" t="e">
        <f>RTD("cqg.rtd", ,"ContractData",L62, "PerCentNetLastTrade",, "T")/100</f>
        <v>#N/A</v>
      </c>
      <c r="N62" t="str">
        <f>"5-"&amp;"Information Technology"</f>
        <v>5-Information Technology</v>
      </c>
      <c r="O62" t="e">
        <f t="shared" si="4"/>
        <v>#N/A</v>
      </c>
      <c r="P62" s="2" t="e">
        <f>RTD("cqg.rtd", ,"ContractData",O62, "PerCentNetLastTrade",, "T")/100</f>
        <v>#N/A</v>
      </c>
      <c r="Q62" t="e">
        <f t="shared" si="5"/>
        <v>#N/A</v>
      </c>
    </row>
    <row r="63" spans="1:17" x14ac:dyDescent="0.3">
      <c r="A63" t="s">
        <v>62</v>
      </c>
      <c r="B63" t="str">
        <f>RTD("cqg.rtd", ,"ContractData",A63, "LongDescription",, "T")</f>
        <v>SYNOPSYS, INC.</v>
      </c>
      <c r="C63" s="1" t="s">
        <v>107</v>
      </c>
      <c r="D63" s="2" t="e">
        <f>RTD("cqg.rtd", ,"ContractData",A63, "PerCentNetLastTrade",, "T")/100</f>
        <v>#VALUE!</v>
      </c>
      <c r="E63" t="e">
        <f>RANK($D63,$D$2:D$104)+COUNTIF($D$2:D63,D63)-1</f>
        <v>#VALUE!</v>
      </c>
      <c r="F63" t="str">
        <f t="shared" si="7"/>
        <v>S.US.SNPS</v>
      </c>
      <c r="G63" t="str">
        <f t="shared" si="0"/>
        <v>Information Technology</v>
      </c>
      <c r="H63">
        <f t="shared" si="8"/>
        <v>62</v>
      </c>
      <c r="I63" t="e">
        <f t="shared" si="1"/>
        <v>#N/A</v>
      </c>
      <c r="J63" t="e">
        <f t="shared" si="2"/>
        <v>#N/A</v>
      </c>
      <c r="K63" t="e">
        <f>COUNTIF($J$2:J63,J63)&amp;"-"&amp;J63</f>
        <v>#N/A</v>
      </c>
      <c r="L63" t="e">
        <f t="shared" si="3"/>
        <v>#N/A</v>
      </c>
      <c r="M63" s="2" t="e">
        <f>RTD("cqg.rtd", ,"ContractData",L63, "PerCentNetLastTrade",, "T")/100</f>
        <v>#N/A</v>
      </c>
      <c r="N63" t="str">
        <f>"6-"&amp;"Information Technology"</f>
        <v>6-Information Technology</v>
      </c>
      <c r="O63" t="e">
        <f t="shared" si="4"/>
        <v>#N/A</v>
      </c>
      <c r="P63" s="2" t="e">
        <f>RTD("cqg.rtd", ,"ContractData",O63, "PerCentNetLastTrade",, "T")/100</f>
        <v>#N/A</v>
      </c>
      <c r="Q63" t="e">
        <f t="shared" si="5"/>
        <v>#N/A</v>
      </c>
    </row>
    <row r="64" spans="1:17" x14ac:dyDescent="0.3">
      <c r="A64" t="s">
        <v>63</v>
      </c>
      <c r="B64" t="str">
        <f>RTD("cqg.rtd", ,"ContractData",A64, "LongDescription",, "T")</f>
        <v>WORKDAY INC CL A</v>
      </c>
      <c r="C64" s="1" t="s">
        <v>107</v>
      </c>
      <c r="D64" s="2" t="e">
        <f>RTD("cqg.rtd", ,"ContractData",A64, "PerCentNetLastTrade",, "T")/100</f>
        <v>#VALUE!</v>
      </c>
      <c r="E64" t="e">
        <f>RANK($D64,$D$2:D$104)+COUNTIF($D$2:D64,D64)-1</f>
        <v>#VALUE!</v>
      </c>
      <c r="F64" t="str">
        <f t="shared" si="7"/>
        <v>S.US.WDAY</v>
      </c>
      <c r="G64" t="str">
        <f t="shared" si="0"/>
        <v>Information Technology</v>
      </c>
      <c r="H64">
        <f t="shared" si="8"/>
        <v>63</v>
      </c>
      <c r="I64" t="e">
        <f t="shared" si="1"/>
        <v>#N/A</v>
      </c>
      <c r="J64" t="e">
        <f t="shared" si="2"/>
        <v>#N/A</v>
      </c>
      <c r="K64" t="e">
        <f>COUNTIF($J$2:J64,J64)&amp;"-"&amp;J64</f>
        <v>#N/A</v>
      </c>
      <c r="L64" t="e">
        <f t="shared" si="3"/>
        <v>#N/A</v>
      </c>
      <c r="M64" s="2" t="e">
        <f>RTD("cqg.rtd", ,"ContractData",L64, "PerCentNetLastTrade",, "T")/100</f>
        <v>#N/A</v>
      </c>
      <c r="N64" t="str">
        <f>"7-"&amp;"Information Technology"</f>
        <v>7-Information Technology</v>
      </c>
      <c r="O64" t="e">
        <f t="shared" si="4"/>
        <v>#N/A</v>
      </c>
      <c r="P64" s="2" t="e">
        <f>RTD("cqg.rtd", ,"ContractData",O64, "PerCentNetLastTrade",, "T")/100</f>
        <v>#N/A</v>
      </c>
      <c r="Q64" t="e">
        <f t="shared" si="5"/>
        <v>#N/A</v>
      </c>
    </row>
    <row r="65" spans="1:17" x14ac:dyDescent="0.3">
      <c r="A65" t="s">
        <v>64</v>
      </c>
      <c r="B65" t="str">
        <f>RTD("cqg.rtd", ,"ContractData",A65, "LongDescription",, "T")</f>
        <v>ZSCALER, INC. CMN</v>
      </c>
      <c r="C65" s="1" t="s">
        <v>107</v>
      </c>
      <c r="D65" s="2" t="e">
        <f>RTD("cqg.rtd", ,"ContractData",A65, "PerCentNetLastTrade",, "T")/100</f>
        <v>#VALUE!</v>
      </c>
      <c r="E65" t="e">
        <f>RANK($D65,$D$2:D$104)+COUNTIF($D$2:D65,D65)-1</f>
        <v>#VALUE!</v>
      </c>
      <c r="F65" t="str">
        <f t="shared" si="7"/>
        <v>S.US.ZS</v>
      </c>
      <c r="G65" t="str">
        <f t="shared" si="0"/>
        <v>Information Technology</v>
      </c>
      <c r="H65">
        <f t="shared" si="8"/>
        <v>64</v>
      </c>
      <c r="I65" t="e">
        <f t="shared" si="1"/>
        <v>#N/A</v>
      </c>
      <c r="J65" t="e">
        <f t="shared" si="2"/>
        <v>#N/A</v>
      </c>
      <c r="K65" t="e">
        <f>COUNTIF($J$2:J65,J65)&amp;"-"&amp;J65</f>
        <v>#N/A</v>
      </c>
      <c r="L65" t="e">
        <f t="shared" si="3"/>
        <v>#N/A</v>
      </c>
      <c r="M65" s="2" t="e">
        <f>RTD("cqg.rtd", ,"ContractData",L65, "PerCentNetLastTrade",, "T")/100</f>
        <v>#N/A</v>
      </c>
      <c r="N65" t="str">
        <f>"8-"&amp;"Information Technology"</f>
        <v>8-Information Technology</v>
      </c>
      <c r="O65" t="e">
        <f t="shared" si="4"/>
        <v>#N/A</v>
      </c>
      <c r="P65" s="2" t="e">
        <f>RTD("cqg.rtd", ,"ContractData",O65, "PerCentNetLastTrade",, "T")/100</f>
        <v>#N/A</v>
      </c>
      <c r="Q65" t="e">
        <f t="shared" si="5"/>
        <v>#N/A</v>
      </c>
    </row>
    <row r="66" spans="1:17" x14ac:dyDescent="0.3">
      <c r="A66" t="s">
        <v>65</v>
      </c>
      <c r="B66" t="str">
        <f>RTD("cqg.rtd", ,"ContractData",A66, "LongDescription",, "T")</f>
        <v>CHARTER COMMUNICATIO</v>
      </c>
      <c r="C66" s="1" t="s">
        <v>109</v>
      </c>
      <c r="D66" s="2" t="e">
        <f>RTD("cqg.rtd", ,"ContractData",A66, "PerCentNetLastTrade",, "T")/100</f>
        <v>#VALUE!</v>
      </c>
      <c r="E66" t="e">
        <f>RANK($D66,$D$2:D$104)+COUNTIF($D$2:D66,D66)-1</f>
        <v>#VALUE!</v>
      </c>
      <c r="F66" t="str">
        <f t="shared" si="7"/>
        <v>S.US.CHTR</v>
      </c>
      <c r="G66" t="str">
        <f t="shared" si="0"/>
        <v>Communication Services</v>
      </c>
      <c r="H66">
        <f t="shared" si="8"/>
        <v>65</v>
      </c>
      <c r="I66" t="e">
        <f t="shared" si="1"/>
        <v>#N/A</v>
      </c>
      <c r="J66" t="e">
        <f t="shared" si="2"/>
        <v>#N/A</v>
      </c>
      <c r="K66" t="e">
        <f>COUNTIF($J$2:J66,J66)&amp;"-"&amp;J66</f>
        <v>#N/A</v>
      </c>
      <c r="L66" t="e">
        <f t="shared" si="3"/>
        <v>#N/A</v>
      </c>
      <c r="M66" s="2" t="e">
        <f>RTD("cqg.rtd", ,"ContractData",L66, "PerCentNetLastTrade",, "T")/100</f>
        <v>#N/A</v>
      </c>
      <c r="N66" t="str">
        <f>"9-"&amp;"Information Technology"</f>
        <v>9-Information Technology</v>
      </c>
      <c r="O66" t="e">
        <f t="shared" si="4"/>
        <v>#N/A</v>
      </c>
      <c r="P66" s="2" t="e">
        <f>RTD("cqg.rtd", ,"ContractData",O66, "PerCentNetLastTrade",, "T")/100</f>
        <v>#N/A</v>
      </c>
      <c r="Q66" t="e">
        <f t="shared" si="5"/>
        <v>#N/A</v>
      </c>
    </row>
    <row r="67" spans="1:17" x14ac:dyDescent="0.3">
      <c r="A67" t="s">
        <v>66</v>
      </c>
      <c r="B67" t="str">
        <f>RTD("cqg.rtd", ,"ContractData",A67, "LongDescription",, "T")</f>
        <v>ELECTRONIC ARTS INC</v>
      </c>
      <c r="C67" s="1" t="s">
        <v>109</v>
      </c>
      <c r="D67" s="2" t="e">
        <f>RTD("cqg.rtd", ,"ContractData",A67, "PerCentNetLastTrade",, "T")/100</f>
        <v>#VALUE!</v>
      </c>
      <c r="E67" t="e">
        <f>RANK($D67,$D$2:D$104)+COUNTIF($D$2:D67,D67)-1</f>
        <v>#VALUE!</v>
      </c>
      <c r="F67" t="str">
        <f t="shared" si="7"/>
        <v>S.US.EA</v>
      </c>
      <c r="G67" t="str">
        <f t="shared" ref="G67:G104" si="9">C67</f>
        <v>Communication Services</v>
      </c>
      <c r="H67">
        <f t="shared" si="8"/>
        <v>66</v>
      </c>
      <c r="I67" t="e">
        <f t="shared" ref="I67:I104" si="10">VLOOKUP(H67,$E$2:$F$104,2,FALSE)</f>
        <v>#N/A</v>
      </c>
      <c r="J67" t="e">
        <f t="shared" ref="J67:J104" si="11">VLOOKUP(H67,$E$2:$G$104,3,FALSE)</f>
        <v>#N/A</v>
      </c>
      <c r="K67" t="e">
        <f>COUNTIF($J$2:J67,J67)&amp;"-"&amp;J67</f>
        <v>#N/A</v>
      </c>
      <c r="L67" t="e">
        <f t="shared" ref="L67:L104" si="12">I67</f>
        <v>#N/A</v>
      </c>
      <c r="M67" s="2" t="e">
        <f>RTD("cqg.rtd", ,"ContractData",L67, "PerCentNetLastTrade",, "T")/100</f>
        <v>#N/A</v>
      </c>
      <c r="N67" t="str">
        <f>"10-"&amp;"Information Technology"</f>
        <v>10-Information Technology</v>
      </c>
      <c r="O67" t="e">
        <f t="shared" ref="O67:O104" si="13">VLOOKUP(N67,$K$2:$L$104,2,FALSE)</f>
        <v>#N/A</v>
      </c>
      <c r="P67" s="2" t="e">
        <f>RTD("cqg.rtd", ,"ContractData",O67, "PerCentNetLastTrade",, "T")/100</f>
        <v>#N/A</v>
      </c>
      <c r="Q67" t="e">
        <f t="shared" ref="Q67:Q104" si="14">RIGHT(O67,LEN(O67)-5)</f>
        <v>#N/A</v>
      </c>
    </row>
    <row r="68" spans="1:17" x14ac:dyDescent="0.3">
      <c r="A68" t="s">
        <v>67</v>
      </c>
      <c r="B68" t="str">
        <f>RTD("cqg.rtd", ,"ContractData",A68, "LongDescription",, "T")</f>
        <v>WRNR BRS DS CM WI</v>
      </c>
      <c r="C68" s="1" t="s">
        <v>109</v>
      </c>
      <c r="D68" s="2" t="e">
        <f>RTD("cqg.rtd", ,"ContractData",A68, "PerCentNetLastTrade",, "T")/100</f>
        <v>#VALUE!</v>
      </c>
      <c r="E68" t="e">
        <f>RANK($D68,$D$2:D$104)+COUNTIF($D$2:D68,D68)-1</f>
        <v>#VALUE!</v>
      </c>
      <c r="F68" t="str">
        <f t="shared" ref="F68:F104" si="15">A68</f>
        <v>S.US.WBD</v>
      </c>
      <c r="G68" t="str">
        <f t="shared" si="9"/>
        <v>Communication Services</v>
      </c>
      <c r="H68">
        <f t="shared" ref="H68:H104" si="16">H67+1</f>
        <v>67</v>
      </c>
      <c r="I68" t="e">
        <f t="shared" si="10"/>
        <v>#N/A</v>
      </c>
      <c r="J68" t="e">
        <f t="shared" si="11"/>
        <v>#N/A</v>
      </c>
      <c r="K68" t="e">
        <f>COUNTIF($J$2:J68,J68)&amp;"-"&amp;J68</f>
        <v>#N/A</v>
      </c>
      <c r="L68" t="e">
        <f t="shared" si="12"/>
        <v>#N/A</v>
      </c>
      <c r="M68" s="2" t="e">
        <f>RTD("cqg.rtd", ,"ContractData",L68, "PerCentNetLastTrade",, "T")/100</f>
        <v>#N/A</v>
      </c>
      <c r="N68" t="str">
        <f>"11-"&amp;"Information Technology"</f>
        <v>11-Information Technology</v>
      </c>
      <c r="O68" t="e">
        <f t="shared" si="13"/>
        <v>#N/A</v>
      </c>
      <c r="P68" s="2" t="e">
        <f>RTD("cqg.rtd", ,"ContractData",O68, "PerCentNetLastTrade",, "T")/100</f>
        <v>#N/A</v>
      </c>
      <c r="Q68" t="e">
        <f t="shared" si="14"/>
        <v>#N/A</v>
      </c>
    </row>
    <row r="69" spans="1:17" x14ac:dyDescent="0.3">
      <c r="A69" t="s">
        <v>68</v>
      </c>
      <c r="B69" t="str">
        <f>RTD("cqg.rtd", ,"ContractData",A69, "LongDescription",, "T")</f>
        <v>Airbnb, Inc. Class A</v>
      </c>
      <c r="C69" s="1" t="s">
        <v>108</v>
      </c>
      <c r="D69" s="2" t="e">
        <f>RTD("cqg.rtd", ,"ContractData",A69, "PerCentNetLastTrade",, "T")/100</f>
        <v>#VALUE!</v>
      </c>
      <c r="E69" t="e">
        <f>RANK($D69,$D$2:D$104)+COUNTIF($D$2:D69,D69)-1</f>
        <v>#VALUE!</v>
      </c>
      <c r="F69" t="str">
        <f t="shared" si="15"/>
        <v>S.US.ABNB</v>
      </c>
      <c r="G69" t="str">
        <f t="shared" si="9"/>
        <v>Consumer Discretionary</v>
      </c>
      <c r="H69">
        <f t="shared" si="16"/>
        <v>68</v>
      </c>
      <c r="I69" t="e">
        <f t="shared" si="10"/>
        <v>#N/A</v>
      </c>
      <c r="J69" t="e">
        <f t="shared" si="11"/>
        <v>#N/A</v>
      </c>
      <c r="K69" t="e">
        <f>COUNTIF($J$2:J69,J69)&amp;"-"&amp;J69</f>
        <v>#N/A</v>
      </c>
      <c r="L69" t="e">
        <f t="shared" si="12"/>
        <v>#N/A</v>
      </c>
      <c r="M69" s="2" t="e">
        <f>RTD("cqg.rtd", ,"ContractData",L69, "PerCentNetLastTrade",, "T")/100</f>
        <v>#N/A</v>
      </c>
      <c r="N69" t="str">
        <f>"12-"&amp;"Information Technology"</f>
        <v>12-Information Technology</v>
      </c>
      <c r="O69" t="e">
        <f t="shared" si="13"/>
        <v>#N/A</v>
      </c>
      <c r="P69" s="2" t="e">
        <f>RTD("cqg.rtd", ,"ContractData",O69, "PerCentNetLastTrade",, "T")/100</f>
        <v>#N/A</v>
      </c>
      <c r="Q69" t="e">
        <f t="shared" si="14"/>
        <v>#N/A</v>
      </c>
    </row>
    <row r="70" spans="1:17" x14ac:dyDescent="0.3">
      <c r="A70" t="s">
        <v>69</v>
      </c>
      <c r="B70" t="str">
        <f>RTD("cqg.rtd", ,"ContractData",A70, "LongDescription",, "T")</f>
        <v>DOORDASH, INC. CL A</v>
      </c>
      <c r="C70" s="1" t="s">
        <v>108</v>
      </c>
      <c r="D70" s="2" t="e">
        <f>RTD("cqg.rtd", ,"ContractData",A70, "PerCentNetLastTrade",, "T")/100</f>
        <v>#VALUE!</v>
      </c>
      <c r="E70" t="e">
        <f>RANK($D70,$D$2:D$104)+COUNTIF($D$2:D70,D70)-1</f>
        <v>#VALUE!</v>
      </c>
      <c r="F70" t="str">
        <f t="shared" si="15"/>
        <v>S.US.DASH</v>
      </c>
      <c r="G70" t="str">
        <f t="shared" si="9"/>
        <v>Consumer Discretionary</v>
      </c>
      <c r="H70">
        <f t="shared" si="16"/>
        <v>69</v>
      </c>
      <c r="I70" t="e">
        <f t="shared" si="10"/>
        <v>#N/A</v>
      </c>
      <c r="J70" t="e">
        <f t="shared" si="11"/>
        <v>#N/A</v>
      </c>
      <c r="K70" t="e">
        <f>COUNTIF($J$2:J70,J70)&amp;"-"&amp;J70</f>
        <v>#N/A</v>
      </c>
      <c r="L70" t="e">
        <f t="shared" si="12"/>
        <v>#N/A</v>
      </c>
      <c r="M70" s="2" t="e">
        <f>RTD("cqg.rtd", ,"ContractData",L70, "PerCentNetLastTrade",, "T")/100</f>
        <v>#N/A</v>
      </c>
      <c r="N70" t="str">
        <f>"13-"&amp;"Information Technology"</f>
        <v>13-Information Technology</v>
      </c>
      <c r="O70" t="e">
        <f t="shared" si="13"/>
        <v>#N/A</v>
      </c>
      <c r="P70" s="2" t="e">
        <f>RTD("cqg.rtd", ,"ContractData",O70, "PerCentNetLastTrade",, "T")/100</f>
        <v>#N/A</v>
      </c>
      <c r="Q70" t="e">
        <f t="shared" si="14"/>
        <v>#N/A</v>
      </c>
    </row>
    <row r="71" spans="1:17" x14ac:dyDescent="0.3">
      <c r="A71" t="s">
        <v>70</v>
      </c>
      <c r="B71" t="str">
        <f>RTD("cqg.rtd", ,"ContractData",A71, "LongDescription",, "T")</f>
        <v>DOLLAR TREE INC</v>
      </c>
      <c r="C71" s="1" t="s">
        <v>110</v>
      </c>
      <c r="D71" s="2" t="e">
        <f>RTD("cqg.rtd", ,"ContractData",A71, "PerCentNetLastTrade",, "T")/100</f>
        <v>#VALUE!</v>
      </c>
      <c r="E71" t="e">
        <f>RANK($D71,$D$2:D$104)+COUNTIF($D$2:D71,D71)-1</f>
        <v>#VALUE!</v>
      </c>
      <c r="F71" t="str">
        <f t="shared" si="15"/>
        <v>S.US.DLTR</v>
      </c>
      <c r="G71" t="str">
        <f t="shared" si="9"/>
        <v>Consumer Staples</v>
      </c>
      <c r="H71">
        <f t="shared" si="16"/>
        <v>70</v>
      </c>
      <c r="I71" t="e">
        <f t="shared" si="10"/>
        <v>#N/A</v>
      </c>
      <c r="J71" t="e">
        <f t="shared" si="11"/>
        <v>#N/A</v>
      </c>
      <c r="K71" t="e">
        <f>COUNTIF($J$2:J71,J71)&amp;"-"&amp;J71</f>
        <v>#N/A</v>
      </c>
      <c r="L71" t="e">
        <f t="shared" si="12"/>
        <v>#N/A</v>
      </c>
      <c r="M71" s="2" t="e">
        <f>RTD("cqg.rtd", ,"ContractData",L71, "PerCentNetLastTrade",, "T")/100</f>
        <v>#N/A</v>
      </c>
      <c r="N71" t="str">
        <f>"14-"&amp;"Information Technology"</f>
        <v>14-Information Technology</v>
      </c>
      <c r="O71" t="e">
        <f t="shared" si="13"/>
        <v>#N/A</v>
      </c>
      <c r="P71" s="2" t="e">
        <f>RTD("cqg.rtd", ,"ContractData",O71, "PerCentNetLastTrade",, "T")/100</f>
        <v>#N/A</v>
      </c>
      <c r="Q71" t="e">
        <f t="shared" si="14"/>
        <v>#N/A</v>
      </c>
    </row>
    <row r="72" spans="1:17" x14ac:dyDescent="0.3">
      <c r="A72" t="s">
        <v>71</v>
      </c>
      <c r="B72" t="str">
        <f>RTD("cqg.rtd", ,"ContractData",A72, "LongDescription",, "T")</f>
        <v>DOMINOS PIZZA INC CM</v>
      </c>
      <c r="C72" s="1" t="s">
        <v>110</v>
      </c>
      <c r="D72" s="2" t="e">
        <f>RTD("cqg.rtd", ,"ContractData",A72, "PerCentNetLastTrade",, "T")/100</f>
        <v>#VALUE!</v>
      </c>
      <c r="E72" t="e">
        <f>RANK($D72,$D$2:D$104)+COUNTIF($D$2:D72,D72)-1</f>
        <v>#VALUE!</v>
      </c>
      <c r="F72" t="str">
        <f t="shared" si="15"/>
        <v>S.US.DPZ</v>
      </c>
      <c r="G72" t="str">
        <f t="shared" si="9"/>
        <v>Consumer Staples</v>
      </c>
      <c r="H72">
        <f t="shared" si="16"/>
        <v>71</v>
      </c>
      <c r="I72" t="e">
        <f t="shared" si="10"/>
        <v>#N/A</v>
      </c>
      <c r="J72" t="e">
        <f t="shared" si="11"/>
        <v>#N/A</v>
      </c>
      <c r="K72" t="e">
        <f>COUNTIF($J$2:J72,J72)&amp;"-"&amp;J72</f>
        <v>#N/A</v>
      </c>
      <c r="L72" t="e">
        <f t="shared" si="12"/>
        <v>#N/A</v>
      </c>
      <c r="M72" s="2" t="e">
        <f>RTD("cqg.rtd", ,"ContractData",L72, "PerCentNetLastTrade",, "T")/100</f>
        <v>#N/A</v>
      </c>
      <c r="N72" t="str">
        <f>"15-"&amp;"Information Technology"</f>
        <v>15-Information Technology</v>
      </c>
      <c r="O72" t="e">
        <f t="shared" si="13"/>
        <v>#N/A</v>
      </c>
      <c r="P72" s="2" t="e">
        <f>RTD("cqg.rtd", ,"ContractData",O72, "PerCentNetLastTrade",, "T")/100</f>
        <v>#N/A</v>
      </c>
      <c r="Q72" t="e">
        <f t="shared" si="14"/>
        <v>#N/A</v>
      </c>
    </row>
    <row r="73" spans="1:17" x14ac:dyDescent="0.3">
      <c r="A73" t="s">
        <v>72</v>
      </c>
      <c r="B73" t="str">
        <f>RTD("cqg.rtd", ,"ContractData",A73, "LongDescription",, "T")</f>
        <v>Expedia Group, Inc.</v>
      </c>
      <c r="C73" s="1" t="s">
        <v>108</v>
      </c>
      <c r="D73" s="2" t="e">
        <f>RTD("cqg.rtd", ,"ContractData",A73, "PerCentNetLastTrade",, "T")/100</f>
        <v>#VALUE!</v>
      </c>
      <c r="E73" t="e">
        <f>RANK($D73,$D$2:D$104)+COUNTIF($D$2:D73,D73)-1</f>
        <v>#VALUE!</v>
      </c>
      <c r="F73" t="str">
        <f t="shared" si="15"/>
        <v>S.US.EXPE</v>
      </c>
      <c r="G73" t="str">
        <f t="shared" si="9"/>
        <v>Consumer Discretionary</v>
      </c>
      <c r="H73">
        <f t="shared" si="16"/>
        <v>72</v>
      </c>
      <c r="I73" t="e">
        <f t="shared" si="10"/>
        <v>#N/A</v>
      </c>
      <c r="J73" t="e">
        <f t="shared" si="11"/>
        <v>#N/A</v>
      </c>
      <c r="K73" t="e">
        <f>COUNTIF($J$2:J73,J73)&amp;"-"&amp;J73</f>
        <v>#N/A</v>
      </c>
      <c r="L73" t="e">
        <f t="shared" si="12"/>
        <v>#N/A</v>
      </c>
      <c r="M73" s="2" t="e">
        <f>RTD("cqg.rtd", ,"ContractData",L73, "PerCentNetLastTrade",, "T")/100</f>
        <v>#N/A</v>
      </c>
      <c r="N73" t="str">
        <f>"16-"&amp;"Information Technology"</f>
        <v>16-Information Technology</v>
      </c>
      <c r="O73" t="e">
        <f t="shared" si="13"/>
        <v>#N/A</v>
      </c>
      <c r="P73" s="2" t="e">
        <f>RTD("cqg.rtd", ,"ContractData",O73, "PerCentNetLastTrade",, "T")/100</f>
        <v>#N/A</v>
      </c>
      <c r="Q73" t="e">
        <f t="shared" si="14"/>
        <v>#N/A</v>
      </c>
    </row>
    <row r="74" spans="1:17" x14ac:dyDescent="0.3">
      <c r="A74" t="s">
        <v>73</v>
      </c>
      <c r="B74" t="str">
        <f>RTD("cqg.rtd", ,"ContractData",A74, "LongDescription",, "T")</f>
        <v>LULULEMON ATHLETICA</v>
      </c>
      <c r="C74" s="1" t="s">
        <v>108</v>
      </c>
      <c r="D74" s="2" t="e">
        <f>RTD("cqg.rtd", ,"ContractData",A74, "PerCentNetLastTrade",, "T")/100</f>
        <v>#VALUE!</v>
      </c>
      <c r="E74" t="e">
        <f>RANK($D74,$D$2:D$104)+COUNTIF($D$2:D74,D74)-1</f>
        <v>#VALUE!</v>
      </c>
      <c r="F74" t="str">
        <f t="shared" si="15"/>
        <v>S.US.LULU</v>
      </c>
      <c r="G74" t="str">
        <f t="shared" si="9"/>
        <v>Consumer Discretionary</v>
      </c>
      <c r="H74">
        <f t="shared" si="16"/>
        <v>73</v>
      </c>
      <c r="I74" t="e">
        <f t="shared" si="10"/>
        <v>#N/A</v>
      </c>
      <c r="J74" t="e">
        <f t="shared" si="11"/>
        <v>#N/A</v>
      </c>
      <c r="K74" t="e">
        <f>COUNTIF($J$2:J74,J74)&amp;"-"&amp;J74</f>
        <v>#N/A</v>
      </c>
      <c r="L74" t="e">
        <f t="shared" si="12"/>
        <v>#N/A</v>
      </c>
      <c r="M74" s="2" t="e">
        <f>RTD("cqg.rtd", ,"ContractData",L74, "PerCentNetLastTrade",, "T")/100</f>
        <v>#N/A</v>
      </c>
      <c r="N74" t="str">
        <f>"17-"&amp;"Information Technology"</f>
        <v>17-Information Technology</v>
      </c>
      <c r="O74" t="e">
        <f t="shared" si="13"/>
        <v>#N/A</v>
      </c>
      <c r="P74" s="2" t="e">
        <f>RTD("cqg.rtd", ,"ContractData",O74, "PerCentNetLastTrade",, "T")/100</f>
        <v>#N/A</v>
      </c>
      <c r="Q74" t="e">
        <f t="shared" si="14"/>
        <v>#N/A</v>
      </c>
    </row>
    <row r="75" spans="1:17" x14ac:dyDescent="0.3">
      <c r="A75" t="s">
        <v>74</v>
      </c>
      <c r="B75" t="str">
        <f>RTD("cqg.rtd", ,"ContractData",A75, "LongDescription",, "T")</f>
        <v>O'REILLY AUTOMOTIVE</v>
      </c>
      <c r="C75" s="1" t="s">
        <v>108</v>
      </c>
      <c r="D75" s="2" t="e">
        <f>RTD("cqg.rtd", ,"ContractData",A75, "PerCentNetLastTrade",, "T")/100</f>
        <v>#VALUE!</v>
      </c>
      <c r="E75" t="e">
        <f>RANK($D75,$D$2:D$104)+COUNTIF($D$2:D75,D75)-1</f>
        <v>#VALUE!</v>
      </c>
      <c r="F75" t="str">
        <f t="shared" si="15"/>
        <v>S.US.ORLY</v>
      </c>
      <c r="G75" t="str">
        <f t="shared" si="9"/>
        <v>Consumer Discretionary</v>
      </c>
      <c r="H75">
        <f t="shared" si="16"/>
        <v>74</v>
      </c>
      <c r="I75" t="e">
        <f t="shared" si="10"/>
        <v>#N/A</v>
      </c>
      <c r="J75" t="e">
        <f t="shared" si="11"/>
        <v>#N/A</v>
      </c>
      <c r="K75" t="e">
        <f>COUNTIF($J$2:J75,J75)&amp;"-"&amp;J75</f>
        <v>#N/A</v>
      </c>
      <c r="L75" t="e">
        <f t="shared" si="12"/>
        <v>#N/A</v>
      </c>
      <c r="M75" s="2" t="e">
        <f>RTD("cqg.rtd", ,"ContractData",L75, "PerCentNetLastTrade",, "T")/100</f>
        <v>#N/A</v>
      </c>
      <c r="N75" t="str">
        <f>"18-"&amp;"Information Technology"</f>
        <v>18-Information Technology</v>
      </c>
      <c r="O75" t="e">
        <f t="shared" si="13"/>
        <v>#N/A</v>
      </c>
      <c r="P75" s="2" t="e">
        <f>RTD("cqg.rtd", ,"ContractData",O75, "PerCentNetLastTrade",, "T")/100</f>
        <v>#N/A</v>
      </c>
      <c r="Q75" t="e">
        <f t="shared" si="14"/>
        <v>#N/A</v>
      </c>
    </row>
    <row r="76" spans="1:17" x14ac:dyDescent="0.3">
      <c r="A76" t="s">
        <v>75</v>
      </c>
      <c r="B76" t="str">
        <f>RTD("cqg.rtd", ,"ContractData",A76, "LongDescription",, "T")</f>
        <v>ROSS STORES, INC.</v>
      </c>
      <c r="C76" s="1" t="s">
        <v>108</v>
      </c>
      <c r="D76" s="2" t="e">
        <f>RTD("cqg.rtd", ,"ContractData",A76, "PerCentNetLastTrade",, "T")/100</f>
        <v>#VALUE!</v>
      </c>
      <c r="E76" t="e">
        <f>RANK($D76,$D$2:D$104)+COUNTIF($D$2:D76,D76)-1</f>
        <v>#VALUE!</v>
      </c>
      <c r="F76" t="str">
        <f t="shared" si="15"/>
        <v>S.US.ROST</v>
      </c>
      <c r="G76" t="str">
        <f t="shared" si="9"/>
        <v>Consumer Discretionary</v>
      </c>
      <c r="H76">
        <f t="shared" si="16"/>
        <v>75</v>
      </c>
      <c r="I76" t="e">
        <f t="shared" si="10"/>
        <v>#N/A</v>
      </c>
      <c r="J76" t="e">
        <f t="shared" si="11"/>
        <v>#N/A</v>
      </c>
      <c r="K76" t="e">
        <f>COUNTIF($J$2:J76,J76)&amp;"-"&amp;J76</f>
        <v>#N/A</v>
      </c>
      <c r="L76" t="e">
        <f t="shared" si="12"/>
        <v>#N/A</v>
      </c>
      <c r="M76" s="2" t="e">
        <f>RTD("cqg.rtd", ,"ContractData",L76, "PerCentNetLastTrade",, "T")/100</f>
        <v>#N/A</v>
      </c>
      <c r="N76" t="str">
        <f>"19-"&amp;"Information Technology"</f>
        <v>19-Information Technology</v>
      </c>
      <c r="O76" t="e">
        <f t="shared" si="13"/>
        <v>#N/A</v>
      </c>
      <c r="P76" s="2" t="e">
        <f>RTD("cqg.rtd", ,"ContractData",O76, "PerCentNetLastTrade",, "T")/100</f>
        <v>#N/A</v>
      </c>
      <c r="Q76" t="e">
        <f t="shared" si="14"/>
        <v>#N/A</v>
      </c>
    </row>
    <row r="77" spans="1:17" x14ac:dyDescent="0.3">
      <c r="A77" t="s">
        <v>76</v>
      </c>
      <c r="B77" t="str">
        <f>RTD("cqg.rtd", ,"ContractData",A77, "LongDescription",, "T")</f>
        <v>Align Technology Inc</v>
      </c>
      <c r="C77" s="1" t="s">
        <v>112</v>
      </c>
      <c r="D77" s="2" t="e">
        <f>RTD("cqg.rtd", ,"ContractData",A77, "PerCentNetLastTrade",, "T")/100</f>
        <v>#VALUE!</v>
      </c>
      <c r="E77" t="e">
        <f>RANK($D77,$D$2:D$104)+COUNTIF($D$2:D77,D77)-1</f>
        <v>#VALUE!</v>
      </c>
      <c r="F77" t="str">
        <f t="shared" si="15"/>
        <v>S.US.ALGN</v>
      </c>
      <c r="G77" t="str">
        <f t="shared" si="9"/>
        <v>Health Care</v>
      </c>
      <c r="H77">
        <f t="shared" si="16"/>
        <v>76</v>
      </c>
      <c r="I77" t="e">
        <f t="shared" si="10"/>
        <v>#N/A</v>
      </c>
      <c r="J77" t="e">
        <f t="shared" si="11"/>
        <v>#N/A</v>
      </c>
      <c r="K77" t="e">
        <f>COUNTIF($J$2:J77,J77)&amp;"-"&amp;J77</f>
        <v>#N/A</v>
      </c>
      <c r="L77" t="e">
        <f t="shared" si="12"/>
        <v>#N/A</v>
      </c>
      <c r="M77" s="2" t="e">
        <f>RTD("cqg.rtd", ,"ContractData",L77, "PerCentNetLastTrade",, "T")/100</f>
        <v>#N/A</v>
      </c>
      <c r="N77" t="str">
        <f>"20-"&amp;"Information Technology"</f>
        <v>20-Information Technology</v>
      </c>
      <c r="O77" t="e">
        <f t="shared" si="13"/>
        <v>#N/A</v>
      </c>
      <c r="P77" s="2" t="e">
        <f>RTD("cqg.rtd", ,"ContractData",O77, "PerCentNetLastTrade",, "T")/100</f>
        <v>#N/A</v>
      </c>
      <c r="Q77" t="e">
        <f t="shared" si="14"/>
        <v>#N/A</v>
      </c>
    </row>
    <row r="78" spans="1:17" x14ac:dyDescent="0.3">
      <c r="A78" t="s">
        <v>77</v>
      </c>
      <c r="B78" t="str">
        <f>RTD("cqg.rtd", ,"ContractData",A78, "LongDescription",, "T")</f>
        <v>ALNYLAM PHARMACEUT</v>
      </c>
      <c r="C78" s="1" t="s">
        <v>112</v>
      </c>
      <c r="D78" s="2" t="e">
        <f>RTD("cqg.rtd", ,"ContractData",A78, "PerCentNetLastTrade",, "T")/100</f>
        <v>#VALUE!</v>
      </c>
      <c r="E78" t="e">
        <f>RANK($D78,$D$2:D$104)+COUNTIF($D$2:D78,D78)-1</f>
        <v>#VALUE!</v>
      </c>
      <c r="F78" t="str">
        <f t="shared" si="15"/>
        <v>S.US.ALNY</v>
      </c>
      <c r="G78" t="str">
        <f t="shared" si="9"/>
        <v>Health Care</v>
      </c>
      <c r="H78">
        <f t="shared" si="16"/>
        <v>77</v>
      </c>
      <c r="I78" t="e">
        <f t="shared" si="10"/>
        <v>#N/A</v>
      </c>
      <c r="J78" t="e">
        <f t="shared" si="11"/>
        <v>#N/A</v>
      </c>
      <c r="K78" t="e">
        <f>COUNTIF($J$2:J78,J78)&amp;"-"&amp;J78</f>
        <v>#N/A</v>
      </c>
      <c r="L78" t="e">
        <f t="shared" si="12"/>
        <v>#N/A</v>
      </c>
      <c r="M78" s="2" t="e">
        <f>RTD("cqg.rtd", ,"ContractData",L78, "PerCentNetLastTrade",, "T")/100</f>
        <v>#N/A</v>
      </c>
      <c r="N78" t="str">
        <f>"21-"&amp;"Information Technology"</f>
        <v>21-Information Technology</v>
      </c>
      <c r="O78" t="e">
        <f t="shared" si="13"/>
        <v>#N/A</v>
      </c>
      <c r="P78" s="2" t="e">
        <f>RTD("cqg.rtd", ,"ContractData",O78, "PerCentNetLastTrade",, "T")/100</f>
        <v>#N/A</v>
      </c>
      <c r="Q78" t="e">
        <f t="shared" si="14"/>
        <v>#N/A</v>
      </c>
    </row>
    <row r="79" spans="1:17" x14ac:dyDescent="0.3">
      <c r="A79" t="s">
        <v>78</v>
      </c>
      <c r="B79" t="str">
        <f>RTD("cqg.rtd", ,"ContractData",A79, "LongDescription",, "T")</f>
        <v>BIOGEN INC CMN</v>
      </c>
      <c r="C79" s="1" t="s">
        <v>112</v>
      </c>
      <c r="D79" s="2" t="e">
        <f>RTD("cqg.rtd", ,"ContractData",A79, "PerCentNetLastTrade",, "T")/100</f>
        <v>#VALUE!</v>
      </c>
      <c r="E79" t="e">
        <f>RANK($D79,$D$2:D$104)+COUNTIF($D$2:D79,D79)-1</f>
        <v>#VALUE!</v>
      </c>
      <c r="F79" t="str">
        <f t="shared" si="15"/>
        <v>S.US.BIIB</v>
      </c>
      <c r="G79" t="str">
        <f t="shared" si="9"/>
        <v>Health Care</v>
      </c>
      <c r="H79">
        <f t="shared" si="16"/>
        <v>78</v>
      </c>
      <c r="I79" t="e">
        <f t="shared" si="10"/>
        <v>#N/A</v>
      </c>
      <c r="J79" t="e">
        <f t="shared" si="11"/>
        <v>#N/A</v>
      </c>
      <c r="K79" t="e">
        <f>COUNTIF($J$2:J79,J79)&amp;"-"&amp;J79</f>
        <v>#N/A</v>
      </c>
      <c r="L79" t="e">
        <f t="shared" si="12"/>
        <v>#N/A</v>
      </c>
      <c r="M79" s="2" t="e">
        <f>RTD("cqg.rtd", ,"ContractData",L79, "PerCentNetLastTrade",, "T")/100</f>
        <v>#N/A</v>
      </c>
      <c r="N79" t="str">
        <f>"22-"&amp;"Information Technology"</f>
        <v>22-Information Technology</v>
      </c>
      <c r="O79" t="e">
        <f t="shared" si="13"/>
        <v>#N/A</v>
      </c>
      <c r="P79" s="2" t="e">
        <f>RTD("cqg.rtd", ,"ContractData",O79, "PerCentNetLastTrade",, "T")/100</f>
        <v>#N/A</v>
      </c>
      <c r="Q79" t="e">
        <f t="shared" si="14"/>
        <v>#N/A</v>
      </c>
    </row>
    <row r="80" spans="1:17" x14ac:dyDescent="0.3">
      <c r="A80" t="s">
        <v>79</v>
      </c>
      <c r="B80" t="str">
        <f>RTD("cqg.rtd", ,"ContractData",A80, "LongDescription",, "T")</f>
        <v>THE COOPER CO INC CM</v>
      </c>
      <c r="C80" s="1" t="s">
        <v>112</v>
      </c>
      <c r="D80" s="2" t="e">
        <f>RTD("cqg.rtd", ,"ContractData",A80, "PerCentNetLastTrade",, "T")/100</f>
        <v>#VALUE!</v>
      </c>
      <c r="E80" t="e">
        <f>RANK($D80,$D$2:D$104)+COUNTIF($D$2:D80,D80)-1</f>
        <v>#VALUE!</v>
      </c>
      <c r="F80" t="str">
        <f t="shared" si="15"/>
        <v>S.US.COO</v>
      </c>
      <c r="G80" t="str">
        <f t="shared" si="9"/>
        <v>Health Care</v>
      </c>
      <c r="H80">
        <f t="shared" si="16"/>
        <v>79</v>
      </c>
      <c r="I80" t="e">
        <f t="shared" si="10"/>
        <v>#N/A</v>
      </c>
      <c r="J80" t="e">
        <f t="shared" si="11"/>
        <v>#N/A</v>
      </c>
      <c r="K80" t="e">
        <f>COUNTIF($J$2:J80,J80)&amp;"-"&amp;J80</f>
        <v>#N/A</v>
      </c>
      <c r="L80" t="e">
        <f t="shared" si="12"/>
        <v>#N/A</v>
      </c>
      <c r="M80" s="2" t="e">
        <f>RTD("cqg.rtd", ,"ContractData",L80, "PerCentNetLastTrade",, "T")/100</f>
        <v>#N/A</v>
      </c>
      <c r="N80" t="str">
        <f>"23-"&amp;"Information Technology"</f>
        <v>23-Information Technology</v>
      </c>
      <c r="O80" t="e">
        <f t="shared" si="13"/>
        <v>#N/A</v>
      </c>
      <c r="P80" s="2" t="e">
        <f>RTD("cqg.rtd", ,"ContractData",O80, "PerCentNetLastTrade",, "T")/100</f>
        <v>#N/A</v>
      </c>
      <c r="Q80" t="e">
        <f t="shared" si="14"/>
        <v>#N/A</v>
      </c>
    </row>
    <row r="81" spans="1:17" x14ac:dyDescent="0.3">
      <c r="A81" t="s">
        <v>80</v>
      </c>
      <c r="B81" t="str">
        <f>RTD("cqg.rtd", ,"ContractData",A81, "LongDescription",, "T")</f>
        <v>DEXCOM</v>
      </c>
      <c r="C81" s="1" t="s">
        <v>112</v>
      </c>
      <c r="D81" s="2" t="e">
        <f>RTD("cqg.rtd", ,"ContractData",A81, "PerCentNetLastTrade",, "T")/100</f>
        <v>#VALUE!</v>
      </c>
      <c r="E81" t="e">
        <f>RANK($D81,$D$2:D$104)+COUNTIF($D$2:D81,D81)-1</f>
        <v>#VALUE!</v>
      </c>
      <c r="F81" t="str">
        <f t="shared" si="15"/>
        <v>S.US.DXCM</v>
      </c>
      <c r="G81" t="str">
        <f t="shared" si="9"/>
        <v>Health Care</v>
      </c>
      <c r="H81">
        <f t="shared" si="16"/>
        <v>80</v>
      </c>
      <c r="I81" t="e">
        <f t="shared" si="10"/>
        <v>#N/A</v>
      </c>
      <c r="J81" t="e">
        <f t="shared" si="11"/>
        <v>#N/A</v>
      </c>
      <c r="K81" t="e">
        <f>COUNTIF($J$2:J81,J81)&amp;"-"&amp;J81</f>
        <v>#N/A</v>
      </c>
      <c r="L81" t="e">
        <f t="shared" si="12"/>
        <v>#N/A</v>
      </c>
      <c r="M81" s="2" t="e">
        <f>RTD("cqg.rtd", ,"ContractData",L81, "PerCentNetLastTrade",, "T")/100</f>
        <v>#N/A</v>
      </c>
      <c r="N81" t="str">
        <f>"24-"&amp;"Information Technology"</f>
        <v>24-Information Technology</v>
      </c>
      <c r="O81" t="e">
        <f t="shared" si="13"/>
        <v>#N/A</v>
      </c>
      <c r="P81" s="2" t="e">
        <f>RTD("cqg.rtd", ,"ContractData",O81, "PerCentNetLastTrade",, "T")/100</f>
        <v>#N/A</v>
      </c>
      <c r="Q81" t="e">
        <f t="shared" si="14"/>
        <v>#N/A</v>
      </c>
    </row>
    <row r="82" spans="1:17" x14ac:dyDescent="0.3">
      <c r="A82" t="s">
        <v>81</v>
      </c>
      <c r="B82" t="str">
        <f>RTD("cqg.rtd", ,"ContractData",A82, "LongDescription",, "T")</f>
        <v>GE HEALTHCARE CM</v>
      </c>
      <c r="C82" s="1" t="s">
        <v>112</v>
      </c>
      <c r="D82" s="2" t="e">
        <f>RTD("cqg.rtd", ,"ContractData",A82, "PerCentNetLastTrade",, "T")/100</f>
        <v>#VALUE!</v>
      </c>
      <c r="E82" t="e">
        <f>RANK($D82,$D$2:D$104)+COUNTIF($D$2:D82,D82)-1</f>
        <v>#VALUE!</v>
      </c>
      <c r="F82" t="str">
        <f t="shared" si="15"/>
        <v>S.US.GEHC</v>
      </c>
      <c r="G82" t="str">
        <f t="shared" si="9"/>
        <v>Health Care</v>
      </c>
      <c r="H82">
        <f t="shared" si="16"/>
        <v>81</v>
      </c>
      <c r="I82" t="e">
        <f t="shared" si="10"/>
        <v>#N/A</v>
      </c>
      <c r="J82" t="e">
        <f t="shared" si="11"/>
        <v>#N/A</v>
      </c>
      <c r="K82" t="e">
        <f>COUNTIF($J$2:J82,J82)&amp;"-"&amp;J82</f>
        <v>#N/A</v>
      </c>
      <c r="L82" t="e">
        <f t="shared" si="12"/>
        <v>#N/A</v>
      </c>
      <c r="M82" s="2" t="e">
        <f>RTD("cqg.rtd", ,"ContractData",L82, "PerCentNetLastTrade",, "T")/100</f>
        <v>#N/A</v>
      </c>
      <c r="N82" t="str">
        <f>"25-"&amp;"Information Technology"</f>
        <v>25-Information Technology</v>
      </c>
      <c r="O82" t="e">
        <f t="shared" si="13"/>
        <v>#N/A</v>
      </c>
      <c r="P82" s="2" t="e">
        <f>RTD("cqg.rtd", ,"ContractData",O82, "PerCentNetLastTrade",, "T")/100</f>
        <v>#N/A</v>
      </c>
      <c r="Q82" t="e">
        <f t="shared" si="14"/>
        <v>#N/A</v>
      </c>
    </row>
    <row r="83" spans="1:17" x14ac:dyDescent="0.3">
      <c r="A83" t="s">
        <v>82</v>
      </c>
      <c r="B83" t="str">
        <f>RTD("cqg.rtd", ,"ContractData",A83, "LongDescription",, "T")</f>
        <v>IDEXX LABORATORIES</v>
      </c>
      <c r="C83" s="1" t="s">
        <v>112</v>
      </c>
      <c r="D83" s="2" t="e">
        <f>RTD("cqg.rtd", ,"ContractData",A83, "PerCentNetLastTrade",, "T")/100</f>
        <v>#VALUE!</v>
      </c>
      <c r="E83" t="e">
        <f>RANK($D83,$D$2:D$104)+COUNTIF($D$2:D83,D83)-1</f>
        <v>#VALUE!</v>
      </c>
      <c r="F83" t="str">
        <f t="shared" si="15"/>
        <v>S.US.IDXX</v>
      </c>
      <c r="G83" t="str">
        <f t="shared" si="9"/>
        <v>Health Care</v>
      </c>
      <c r="H83">
        <f t="shared" si="16"/>
        <v>82</v>
      </c>
      <c r="I83" t="e">
        <f t="shared" si="10"/>
        <v>#N/A</v>
      </c>
      <c r="J83" t="e">
        <f t="shared" si="11"/>
        <v>#N/A</v>
      </c>
      <c r="K83" t="e">
        <f>COUNTIF($J$2:J83,J83)&amp;"-"&amp;J83</f>
        <v>#N/A</v>
      </c>
      <c r="L83" t="e">
        <f t="shared" si="12"/>
        <v>#N/A</v>
      </c>
      <c r="M83" s="2" t="e">
        <f>RTD("cqg.rtd", ,"ContractData",L83, "PerCentNetLastTrade",, "T")/100</f>
        <v>#N/A</v>
      </c>
      <c r="N83" t="str">
        <f>"26-"&amp;"Information Technology"</f>
        <v>26-Information Technology</v>
      </c>
      <c r="O83" t="e">
        <f t="shared" si="13"/>
        <v>#N/A</v>
      </c>
      <c r="P83" s="2" t="e">
        <f>RTD("cqg.rtd", ,"ContractData",O83, "PerCentNetLastTrade",, "T")/100</f>
        <v>#N/A</v>
      </c>
      <c r="Q83" t="e">
        <f t="shared" si="14"/>
        <v>#N/A</v>
      </c>
    </row>
    <row r="84" spans="1:17" x14ac:dyDescent="0.3">
      <c r="A84" t="s">
        <v>83</v>
      </c>
      <c r="B84" t="str">
        <f>RTD("cqg.rtd", ,"ContractData",A84, "LongDescription",, "T")</f>
        <v>C.H. ROBINSON WW</v>
      </c>
      <c r="C84" s="1" t="s">
        <v>113</v>
      </c>
      <c r="D84" s="2" t="e">
        <f>RTD("cqg.rtd", ,"ContractData",A84, "PerCentNetLastTrade",, "T")/100</f>
        <v>#VALUE!</v>
      </c>
      <c r="E84" t="e">
        <f>RANK($D84,$D$2:D$104)+COUNTIF($D$2:D84,D84)-1</f>
        <v>#VALUE!</v>
      </c>
      <c r="F84" t="str">
        <f t="shared" si="15"/>
        <v>S.US.CHRW</v>
      </c>
      <c r="G84" t="str">
        <f t="shared" si="9"/>
        <v>Industrials</v>
      </c>
      <c r="H84">
        <f t="shared" si="16"/>
        <v>83</v>
      </c>
      <c r="I84" t="e">
        <f t="shared" si="10"/>
        <v>#N/A</v>
      </c>
      <c r="J84" t="e">
        <f t="shared" si="11"/>
        <v>#N/A</v>
      </c>
      <c r="K84" t="e">
        <f>COUNTIF($J$2:J84,J84)&amp;"-"&amp;J84</f>
        <v>#N/A</v>
      </c>
      <c r="L84" t="e">
        <f t="shared" si="12"/>
        <v>#N/A</v>
      </c>
      <c r="M84" s="2" t="e">
        <f>RTD("cqg.rtd", ,"ContractData",L84, "PerCentNetLastTrade",, "T")/100</f>
        <v>#N/A</v>
      </c>
      <c r="N84" t="str">
        <f>"27-"&amp;"Information Technology"</f>
        <v>27-Information Technology</v>
      </c>
      <c r="O84" t="e">
        <f t="shared" si="13"/>
        <v>#N/A</v>
      </c>
      <c r="P84" s="2" t="e">
        <f>RTD("cqg.rtd", ,"ContractData",O84, "PerCentNetLastTrade",, "T")/100</f>
        <v>#N/A</v>
      </c>
      <c r="Q84" t="e">
        <f t="shared" si="14"/>
        <v>#N/A</v>
      </c>
    </row>
    <row r="85" spans="1:17" x14ac:dyDescent="0.3">
      <c r="A85" t="s">
        <v>84</v>
      </c>
      <c r="B85" t="str">
        <f>RTD("cqg.rtd", ,"ContractData",A85, "LongDescription",, "T")</f>
        <v>Cintas Corp</v>
      </c>
      <c r="C85" s="1" t="s">
        <v>113</v>
      </c>
      <c r="D85" s="2" t="e">
        <f>RTD("cqg.rtd", ,"ContractData",A85, "PerCentNetLastTrade",, "T")/100</f>
        <v>#VALUE!</v>
      </c>
      <c r="E85" t="e">
        <f>RANK($D85,$D$2:D$104)+COUNTIF($D$2:D85,D85)-1</f>
        <v>#VALUE!</v>
      </c>
      <c r="F85" t="str">
        <f t="shared" si="15"/>
        <v>S.US.CTAS</v>
      </c>
      <c r="G85" t="str">
        <f t="shared" si="9"/>
        <v>Industrials</v>
      </c>
      <c r="H85">
        <f t="shared" si="16"/>
        <v>84</v>
      </c>
      <c r="I85" t="e">
        <f t="shared" si="10"/>
        <v>#N/A</v>
      </c>
      <c r="J85" t="e">
        <f t="shared" si="11"/>
        <v>#N/A</v>
      </c>
      <c r="K85" t="e">
        <f>COUNTIF($J$2:J85,J85)&amp;"-"&amp;J85</f>
        <v>#N/A</v>
      </c>
      <c r="L85" t="e">
        <f t="shared" si="12"/>
        <v>#N/A</v>
      </c>
      <c r="M85" s="2" t="e">
        <f>RTD("cqg.rtd", ,"ContractData",L85, "PerCentNetLastTrade",, "T")/100</f>
        <v>#N/A</v>
      </c>
      <c r="N85" t="str">
        <f>"28-"&amp;"Information Technology"</f>
        <v>28-Information Technology</v>
      </c>
      <c r="O85" t="e">
        <f t="shared" si="13"/>
        <v>#N/A</v>
      </c>
      <c r="P85" s="2" t="e">
        <f>RTD("cqg.rtd", ,"ContractData",O85, "PerCentNetLastTrade",, "T")/100</f>
        <v>#N/A</v>
      </c>
      <c r="Q85" t="e">
        <f t="shared" si="14"/>
        <v>#N/A</v>
      </c>
    </row>
    <row r="86" spans="1:17" x14ac:dyDescent="0.3">
      <c r="A86" t="s">
        <v>85</v>
      </c>
      <c r="B86" t="str">
        <f>RTD("cqg.rtd", ,"ContractData",A86, "LongDescription",, "T")</f>
        <v>COPART, INC.</v>
      </c>
      <c r="C86" s="1" t="s">
        <v>113</v>
      </c>
      <c r="D86" s="2" t="e">
        <f>RTD("cqg.rtd", ,"ContractData",A86, "PerCentNetLastTrade",, "T")/100</f>
        <v>#VALUE!</v>
      </c>
      <c r="E86" t="e">
        <f>RANK($D86,$D$2:D$104)+COUNTIF($D$2:D86,D86)-1</f>
        <v>#VALUE!</v>
      </c>
      <c r="F86" t="str">
        <f t="shared" si="15"/>
        <v>S.US.CPRT</v>
      </c>
      <c r="G86" t="str">
        <f t="shared" si="9"/>
        <v>Industrials</v>
      </c>
      <c r="H86">
        <f t="shared" si="16"/>
        <v>85</v>
      </c>
      <c r="I86" t="e">
        <f t="shared" si="10"/>
        <v>#N/A</v>
      </c>
      <c r="J86" t="e">
        <f t="shared" si="11"/>
        <v>#N/A</v>
      </c>
      <c r="K86" t="e">
        <f>COUNTIF($J$2:J86,J86)&amp;"-"&amp;J86</f>
        <v>#N/A</v>
      </c>
      <c r="L86" t="e">
        <f t="shared" si="12"/>
        <v>#N/A</v>
      </c>
      <c r="M86" s="2" t="e">
        <f>RTD("cqg.rtd", ,"ContractData",L86, "PerCentNetLastTrade",, "T")/100</f>
        <v>#N/A</v>
      </c>
      <c r="N86" t="str">
        <f>"29-"&amp;"Information Technology"</f>
        <v>29-Information Technology</v>
      </c>
      <c r="O86" t="e">
        <f t="shared" si="13"/>
        <v>#N/A</v>
      </c>
      <c r="P86" s="2" t="e">
        <f>RTD("cqg.rtd", ,"ContractData",O86, "PerCentNetLastTrade",, "T")/100</f>
        <v>#N/A</v>
      </c>
      <c r="Q86" t="e">
        <f t="shared" si="14"/>
        <v>#N/A</v>
      </c>
    </row>
    <row r="87" spans="1:17" x14ac:dyDescent="0.3">
      <c r="A87" t="s">
        <v>86</v>
      </c>
      <c r="B87" t="str">
        <f>RTD("cqg.rtd", ,"ContractData",A87, "LongDescription",, "T")</f>
        <v>CSX Corporation</v>
      </c>
      <c r="C87" s="1" t="s">
        <v>113</v>
      </c>
      <c r="D87" s="2" t="e">
        <f>RTD("cqg.rtd", ,"ContractData",A87, "PerCentNetLastTrade",, "T")/100</f>
        <v>#VALUE!</v>
      </c>
      <c r="E87" t="e">
        <f>RANK($D87,$D$2:D$104)+COUNTIF($D$2:D87,D87)-1</f>
        <v>#VALUE!</v>
      </c>
      <c r="F87" t="str">
        <f t="shared" si="15"/>
        <v>S.US.CSX</v>
      </c>
      <c r="G87" t="str">
        <f t="shared" si="9"/>
        <v>Industrials</v>
      </c>
      <c r="H87">
        <f t="shared" si="16"/>
        <v>86</v>
      </c>
      <c r="I87" t="e">
        <f t="shared" si="10"/>
        <v>#N/A</v>
      </c>
      <c r="J87" t="e">
        <f t="shared" si="11"/>
        <v>#N/A</v>
      </c>
      <c r="K87" t="e">
        <f>COUNTIF($J$2:J87,J87)&amp;"-"&amp;J87</f>
        <v>#N/A</v>
      </c>
      <c r="L87" t="e">
        <f t="shared" si="12"/>
        <v>#N/A</v>
      </c>
      <c r="M87" s="2" t="e">
        <f>RTD("cqg.rtd", ,"ContractData",L87, "PerCentNetLastTrade",, "T")/100</f>
        <v>#N/A</v>
      </c>
      <c r="N87" t="str">
        <f>"30-"&amp;"Information Technology"</f>
        <v>30-Information Technology</v>
      </c>
      <c r="O87" t="e">
        <f t="shared" si="13"/>
        <v>#N/A</v>
      </c>
      <c r="P87" s="2" t="e">
        <f>RTD("cqg.rtd", ,"ContractData",O87, "PerCentNetLastTrade",, "T")/100</f>
        <v>#N/A</v>
      </c>
      <c r="Q87" t="e">
        <f t="shared" si="14"/>
        <v>#N/A</v>
      </c>
    </row>
    <row r="88" spans="1:17" x14ac:dyDescent="0.3">
      <c r="A88" t="s">
        <v>87</v>
      </c>
      <c r="B88" t="str">
        <f>RTD("cqg.rtd", ,"ContractData",A88, "LongDescription",, "T")</f>
        <v>Fastenal Co</v>
      </c>
      <c r="C88" s="1" t="s">
        <v>113</v>
      </c>
      <c r="D88" s="2" t="e">
        <f>RTD("cqg.rtd", ,"ContractData",A88, "PerCentNetLastTrade",, "T")/100</f>
        <v>#VALUE!</v>
      </c>
      <c r="E88" t="e">
        <f>RANK($D88,$D$2:D$104)+COUNTIF($D$2:D88,D88)-1</f>
        <v>#VALUE!</v>
      </c>
      <c r="F88" t="str">
        <f t="shared" si="15"/>
        <v>S.US.FAST</v>
      </c>
      <c r="G88" t="str">
        <f t="shared" si="9"/>
        <v>Industrials</v>
      </c>
      <c r="H88">
        <f t="shared" si="16"/>
        <v>87</v>
      </c>
      <c r="I88" t="e">
        <f t="shared" si="10"/>
        <v>#N/A</v>
      </c>
      <c r="J88" t="e">
        <f t="shared" si="11"/>
        <v>#N/A</v>
      </c>
      <c r="K88" t="e">
        <f>COUNTIF($J$2:J88,J88)&amp;"-"&amp;J88</f>
        <v>#N/A</v>
      </c>
      <c r="L88" t="e">
        <f t="shared" si="12"/>
        <v>#N/A</v>
      </c>
      <c r="M88" s="2" t="e">
        <f>RTD("cqg.rtd", ,"ContractData",L88, "PerCentNetLastTrade",, "T")/100</f>
        <v>#N/A</v>
      </c>
      <c r="N88" t="str">
        <f>"31-"&amp;"Information Technology"</f>
        <v>31-Information Technology</v>
      </c>
      <c r="O88" t="e">
        <f t="shared" si="13"/>
        <v>#N/A</v>
      </c>
      <c r="P88" s="2" t="e">
        <f>RTD("cqg.rtd", ,"ContractData",O88, "PerCentNetLastTrade",, "T")/100</f>
        <v>#N/A</v>
      </c>
      <c r="Q88" t="e">
        <f t="shared" si="14"/>
        <v>#N/A</v>
      </c>
    </row>
    <row r="89" spans="1:17" x14ac:dyDescent="0.3">
      <c r="A89" t="s">
        <v>88</v>
      </c>
      <c r="B89" t="str">
        <f>RTD("cqg.rtd", ,"ContractData",A89, "LongDescription",, "T")</f>
        <v>PAYCHEX, INC.</v>
      </c>
      <c r="C89" s="1" t="s">
        <v>113</v>
      </c>
      <c r="D89" s="2" t="e">
        <f>RTD("cqg.rtd", ,"ContractData",A89, "PerCentNetLastTrade",, "T")/100</f>
        <v>#VALUE!</v>
      </c>
      <c r="E89" t="e">
        <f>RANK($D89,$D$2:D$104)+COUNTIF($D$2:D89,D89)-1</f>
        <v>#VALUE!</v>
      </c>
      <c r="F89" t="str">
        <f t="shared" si="15"/>
        <v>S.US.PAYX</v>
      </c>
      <c r="G89" t="str">
        <f t="shared" si="9"/>
        <v>Industrials</v>
      </c>
      <c r="H89">
        <f t="shared" si="16"/>
        <v>88</v>
      </c>
      <c r="I89" t="e">
        <f t="shared" si="10"/>
        <v>#N/A</v>
      </c>
      <c r="J89" t="e">
        <f t="shared" si="11"/>
        <v>#N/A</v>
      </c>
      <c r="K89" t="e">
        <f>COUNTIF($J$2:J89,J89)&amp;"-"&amp;J89</f>
        <v>#N/A</v>
      </c>
      <c r="L89" t="e">
        <f t="shared" si="12"/>
        <v>#N/A</v>
      </c>
      <c r="M89" s="2" t="e">
        <f>RTD("cqg.rtd", ,"ContractData",L89, "PerCentNetLastTrade",, "T")/100</f>
        <v>#N/A</v>
      </c>
      <c r="N89" t="str">
        <f>"32-"&amp;"Information Technology"</f>
        <v>32-Information Technology</v>
      </c>
      <c r="O89" t="e">
        <f t="shared" si="13"/>
        <v>#N/A</v>
      </c>
      <c r="P89" s="2" t="e">
        <f>RTD("cqg.rtd", ,"ContractData",O89, "PerCentNetLastTrade",, "T")/100</f>
        <v>#N/A</v>
      </c>
      <c r="Q89" t="e">
        <f t="shared" si="14"/>
        <v>#N/A</v>
      </c>
    </row>
    <row r="90" spans="1:17" x14ac:dyDescent="0.3">
      <c r="A90" t="s">
        <v>89</v>
      </c>
      <c r="B90" t="str">
        <f>RTD("cqg.rtd", ,"ContractData",A90, "LongDescription",, "T")</f>
        <v>PACCAR INC.</v>
      </c>
      <c r="C90" s="1" t="s">
        <v>113</v>
      </c>
      <c r="D90" s="2" t="e">
        <f>RTD("cqg.rtd", ,"ContractData",A90, "PerCentNetLastTrade",, "T")/100</f>
        <v>#VALUE!</v>
      </c>
      <c r="E90" t="e">
        <f>RANK($D90,$D$2:D$104)+COUNTIF($D$2:D90,D90)-1</f>
        <v>#VALUE!</v>
      </c>
      <c r="F90" t="str">
        <f t="shared" si="15"/>
        <v>S.US.PCAR</v>
      </c>
      <c r="G90" t="str">
        <f t="shared" si="9"/>
        <v>Industrials</v>
      </c>
      <c r="H90">
        <f t="shared" si="16"/>
        <v>89</v>
      </c>
      <c r="I90" t="e">
        <f t="shared" si="10"/>
        <v>#N/A</v>
      </c>
      <c r="J90" t="e">
        <f t="shared" si="11"/>
        <v>#N/A</v>
      </c>
      <c r="K90" t="e">
        <f>COUNTIF($J$2:J90,J90)&amp;"-"&amp;J90</f>
        <v>#N/A</v>
      </c>
      <c r="L90" t="e">
        <f t="shared" si="12"/>
        <v>#N/A</v>
      </c>
      <c r="M90" s="2" t="e">
        <f>RTD("cqg.rtd", ,"ContractData",L90, "PerCentNetLastTrade",, "T")/100</f>
        <v>#N/A</v>
      </c>
      <c r="N90" t="str">
        <f>"33-"&amp;"Information Technology"</f>
        <v>33-Information Technology</v>
      </c>
      <c r="O90" t="e">
        <f t="shared" si="13"/>
        <v>#N/A</v>
      </c>
      <c r="P90" s="2" t="e">
        <f>RTD("cqg.rtd", ,"ContractData",O90, "PerCentNetLastTrade",, "T")/100</f>
        <v>#N/A</v>
      </c>
      <c r="Q90" t="e">
        <f t="shared" si="14"/>
        <v>#N/A</v>
      </c>
    </row>
    <row r="91" spans="1:17" x14ac:dyDescent="0.3">
      <c r="A91" t="s">
        <v>90</v>
      </c>
      <c r="B91" t="str">
        <f>RTD("cqg.rtd", ,"ContractData",A91, "LongDescription",, "T")</f>
        <v>VERISK ANALYTICS INC</v>
      </c>
      <c r="C91" s="1" t="s">
        <v>113</v>
      </c>
      <c r="D91" s="2" t="e">
        <f>RTD("cqg.rtd", ,"ContractData",A91, "PerCentNetLastTrade",, "T")/100</f>
        <v>#VALUE!</v>
      </c>
      <c r="E91" t="e">
        <f>RANK($D91,$D$2:D$104)+COUNTIF($D$2:D91,D91)-1</f>
        <v>#VALUE!</v>
      </c>
      <c r="F91" t="str">
        <f t="shared" si="15"/>
        <v>S.US.VRSK</v>
      </c>
      <c r="G91" t="str">
        <f t="shared" si="9"/>
        <v>Industrials</v>
      </c>
      <c r="H91">
        <f t="shared" si="16"/>
        <v>90</v>
      </c>
      <c r="I91" t="e">
        <f t="shared" si="10"/>
        <v>#N/A</v>
      </c>
      <c r="J91" t="e">
        <f t="shared" si="11"/>
        <v>#N/A</v>
      </c>
      <c r="K91" t="e">
        <f>COUNTIF($J$2:J91,J91)&amp;"-"&amp;J91</f>
        <v>#N/A</v>
      </c>
      <c r="L91" t="e">
        <f t="shared" si="12"/>
        <v>#N/A</v>
      </c>
      <c r="M91" s="2" t="e">
        <f>RTD("cqg.rtd", ,"ContractData",L91, "PerCentNetLastTrade",, "T")/100</f>
        <v>#N/A</v>
      </c>
      <c r="N91" t="str">
        <f>"34-"&amp;"Information Technology"</f>
        <v>34-Information Technology</v>
      </c>
      <c r="O91" t="e">
        <f t="shared" si="13"/>
        <v>#N/A</v>
      </c>
      <c r="P91" s="2" t="e">
        <f>RTD("cqg.rtd", ,"ContractData",O91, "PerCentNetLastTrade",, "T")/100</f>
        <v>#N/A</v>
      </c>
      <c r="Q91" t="e">
        <f t="shared" si="14"/>
        <v>#N/A</v>
      </c>
    </row>
    <row r="92" spans="1:17" x14ac:dyDescent="0.3">
      <c r="A92" t="s">
        <v>91</v>
      </c>
      <c r="B92" t="str">
        <f>RTD("cqg.rtd", ,"ContractData",A92, "LongDescription",, "T")</f>
        <v>BAKER HUGHES CO</v>
      </c>
      <c r="C92" s="1" t="s">
        <v>115</v>
      </c>
      <c r="D92" s="2" t="e">
        <f>RTD("cqg.rtd", ,"ContractData",A92, "PerCentNetLastTrade",, "T")/100</f>
        <v>#VALUE!</v>
      </c>
      <c r="E92" t="e">
        <f>RANK($D92,$D$2:D$104)+COUNTIF($D$2:D92,D92)-1</f>
        <v>#VALUE!</v>
      </c>
      <c r="F92" t="str">
        <f t="shared" si="15"/>
        <v>S.US.BKR</v>
      </c>
      <c r="G92" t="str">
        <f t="shared" si="9"/>
        <v>Energy</v>
      </c>
      <c r="H92">
        <f t="shared" si="16"/>
        <v>91</v>
      </c>
      <c r="I92" t="e">
        <f t="shared" si="10"/>
        <v>#N/A</v>
      </c>
      <c r="J92" t="e">
        <f t="shared" si="11"/>
        <v>#N/A</v>
      </c>
      <c r="K92" t="e">
        <f>COUNTIF($J$2:J92,J92)&amp;"-"&amp;J92</f>
        <v>#N/A</v>
      </c>
      <c r="L92" t="e">
        <f t="shared" si="12"/>
        <v>#N/A</v>
      </c>
      <c r="M92" s="2" t="e">
        <f>RTD("cqg.rtd", ,"ContractData",L92, "PerCentNetLastTrade",, "T")/100</f>
        <v>#N/A</v>
      </c>
      <c r="N92" t="str">
        <f>"35-"&amp;"Information Technology"</f>
        <v>35-Information Technology</v>
      </c>
      <c r="O92" t="e">
        <f t="shared" si="13"/>
        <v>#N/A</v>
      </c>
      <c r="P92" s="2" t="e">
        <f>RTD("cqg.rtd", ,"ContractData",O92, "PerCentNetLastTrade",, "T")/100</f>
        <v>#N/A</v>
      </c>
      <c r="Q92" t="e">
        <f t="shared" si="14"/>
        <v>#N/A</v>
      </c>
    </row>
    <row r="93" spans="1:17" x14ac:dyDescent="0.3">
      <c r="A93" t="s">
        <v>92</v>
      </c>
      <c r="B93" t="str">
        <f>RTD("cqg.rtd", ,"ContractData",A93, "LongDescription",, "T")</f>
        <v>DIAMONDBACK ENERGY</v>
      </c>
      <c r="C93" s="1" t="s">
        <v>115</v>
      </c>
      <c r="D93" s="2" t="e">
        <f>RTD("cqg.rtd", ,"ContractData",A93, "PerCentNetLastTrade",, "T")/100</f>
        <v>#VALUE!</v>
      </c>
      <c r="E93" t="e">
        <f>RANK($D93,$D$2:D$104)+COUNTIF($D$2:D93,D93)-1</f>
        <v>#VALUE!</v>
      </c>
      <c r="F93" t="str">
        <f t="shared" si="15"/>
        <v>S.US.FANG</v>
      </c>
      <c r="G93" t="str">
        <f t="shared" si="9"/>
        <v>Energy</v>
      </c>
      <c r="H93">
        <f t="shared" si="16"/>
        <v>92</v>
      </c>
      <c r="I93" t="e">
        <f t="shared" si="10"/>
        <v>#N/A</v>
      </c>
      <c r="J93" t="e">
        <f t="shared" si="11"/>
        <v>#N/A</v>
      </c>
      <c r="K93" t="e">
        <f>COUNTIF($J$2:J93,J93)&amp;"-"&amp;J93</f>
        <v>#N/A</v>
      </c>
      <c r="L93" t="e">
        <f t="shared" si="12"/>
        <v>#N/A</v>
      </c>
      <c r="M93" s="2" t="e">
        <f>RTD("cqg.rtd", ,"ContractData",L93, "PerCentNetLastTrade",, "T")/100</f>
        <v>#N/A</v>
      </c>
      <c r="N93" t="str">
        <f>"36-"&amp;"Information Technology"</f>
        <v>36-Information Technology</v>
      </c>
      <c r="O93" t="e">
        <f t="shared" si="13"/>
        <v>#N/A</v>
      </c>
      <c r="P93" s="2" t="e">
        <f>RTD("cqg.rtd", ,"ContractData",O93, "PerCentNetLastTrade",, "T")/100</f>
        <v>#N/A</v>
      </c>
      <c r="Q93" t="e">
        <f t="shared" si="14"/>
        <v>#N/A</v>
      </c>
    </row>
    <row r="94" spans="1:17" x14ac:dyDescent="0.3">
      <c r="A94" t="s">
        <v>93</v>
      </c>
      <c r="B94" t="str">
        <f>RTD("cqg.rtd", ,"ContractData",A94, "LongDescription",, "T")</f>
        <v>COCA-COLA EUROPACIFI</v>
      </c>
      <c r="C94" s="1" t="s">
        <v>110</v>
      </c>
      <c r="D94" s="2" t="e">
        <f>RTD("cqg.rtd", ,"ContractData",A94, "PerCentNetLastTrade",, "T")/100</f>
        <v>#VALUE!</v>
      </c>
      <c r="E94" t="e">
        <f>RANK($D94,$D$2:D$104)+COUNTIF($D$2:D94,D94)-1</f>
        <v>#VALUE!</v>
      </c>
      <c r="F94" t="str">
        <f t="shared" si="15"/>
        <v>S.US.CCEP</v>
      </c>
      <c r="G94" t="str">
        <f t="shared" si="9"/>
        <v>Consumer Staples</v>
      </c>
      <c r="H94">
        <f t="shared" si="16"/>
        <v>93</v>
      </c>
      <c r="I94" t="e">
        <f t="shared" si="10"/>
        <v>#N/A</v>
      </c>
      <c r="J94" t="e">
        <f t="shared" si="11"/>
        <v>#N/A</v>
      </c>
      <c r="K94" t="e">
        <f>COUNTIF($J$2:J94,J94)&amp;"-"&amp;J94</f>
        <v>#N/A</v>
      </c>
      <c r="L94" t="e">
        <f t="shared" si="12"/>
        <v>#N/A</v>
      </c>
      <c r="M94" s="2" t="e">
        <f>RTD("cqg.rtd", ,"ContractData",L94, "PerCentNetLastTrade",, "T")/100</f>
        <v>#N/A</v>
      </c>
      <c r="N94" t="str">
        <f>"37-"&amp;"Information Technology"</f>
        <v>37-Information Technology</v>
      </c>
      <c r="O94" t="e">
        <f t="shared" si="13"/>
        <v>#N/A</v>
      </c>
      <c r="P94" s="2" t="e">
        <f>RTD("cqg.rtd", ,"ContractData",O94, "PerCentNetLastTrade",, "T")/100</f>
        <v>#N/A</v>
      </c>
      <c r="Q94" t="e">
        <f t="shared" si="14"/>
        <v>#N/A</v>
      </c>
    </row>
    <row r="95" spans="1:17" x14ac:dyDescent="0.3">
      <c r="A95" t="s">
        <v>94</v>
      </c>
      <c r="B95" t="str">
        <f>RTD("cqg.rtd", ,"ContractData",A95, "LongDescription",, "T")</f>
        <v>KEURIG DR PEPPER INC</v>
      </c>
      <c r="C95" s="1" t="s">
        <v>110</v>
      </c>
      <c r="D95" s="2" t="e">
        <f>RTD("cqg.rtd", ,"ContractData",A95, "PerCentNetLastTrade",, "T")/100</f>
        <v>#VALUE!</v>
      </c>
      <c r="E95" t="e">
        <f>RANK($D95,$D$2:D$104)+COUNTIF($D$2:D95,D95)-1</f>
        <v>#VALUE!</v>
      </c>
      <c r="F95" t="str">
        <f t="shared" si="15"/>
        <v>S.US.KDP</v>
      </c>
      <c r="G95" t="str">
        <f t="shared" si="9"/>
        <v>Consumer Staples</v>
      </c>
      <c r="H95">
        <f t="shared" si="16"/>
        <v>94</v>
      </c>
      <c r="I95" t="e">
        <f t="shared" si="10"/>
        <v>#N/A</v>
      </c>
      <c r="J95" t="e">
        <f t="shared" si="11"/>
        <v>#N/A</v>
      </c>
      <c r="K95" t="e">
        <f>COUNTIF($J$2:J95,J95)&amp;"-"&amp;J95</f>
        <v>#N/A</v>
      </c>
      <c r="L95" t="e">
        <f t="shared" si="12"/>
        <v>#N/A</v>
      </c>
      <c r="M95" s="2" t="e">
        <f>RTD("cqg.rtd", ,"ContractData",L95, "PerCentNetLastTrade",, "T")/100</f>
        <v>#N/A</v>
      </c>
      <c r="N95" t="str">
        <f>"38-"&amp;"Information Technology"</f>
        <v>38-Information Technology</v>
      </c>
      <c r="O95" t="e">
        <f t="shared" si="13"/>
        <v>#N/A</v>
      </c>
      <c r="P95" s="2" t="e">
        <f>RTD("cqg.rtd", ,"ContractData",O95, "PerCentNetLastTrade",, "T")/100</f>
        <v>#N/A</v>
      </c>
      <c r="Q95" t="e">
        <f t="shared" si="14"/>
        <v>#N/A</v>
      </c>
    </row>
    <row r="96" spans="1:17" x14ac:dyDescent="0.3">
      <c r="A96" t="s">
        <v>95</v>
      </c>
      <c r="B96" t="str">
        <f>RTD("cqg.rtd", ,"ContractData",A96, "LongDescription",, "T")</f>
        <v>KRAFT HEINZ CO CMN</v>
      </c>
      <c r="C96" s="1" t="s">
        <v>110</v>
      </c>
      <c r="D96" s="2" t="e">
        <f>RTD("cqg.rtd", ,"ContractData",A96, "PerCentNetLastTrade",, "T")/100</f>
        <v>#VALUE!</v>
      </c>
      <c r="E96" t="e">
        <f>RANK($D96,$D$2:D$104)+COUNTIF($D$2:D96,D96)-1</f>
        <v>#VALUE!</v>
      </c>
      <c r="F96" t="str">
        <f t="shared" si="15"/>
        <v>S.US.KHC</v>
      </c>
      <c r="G96" t="str">
        <f t="shared" si="9"/>
        <v>Consumer Staples</v>
      </c>
      <c r="H96">
        <f t="shared" si="16"/>
        <v>95</v>
      </c>
      <c r="I96" t="e">
        <f t="shared" si="10"/>
        <v>#N/A</v>
      </c>
      <c r="J96" t="e">
        <f t="shared" si="11"/>
        <v>#N/A</v>
      </c>
      <c r="K96" t="e">
        <f>COUNTIF($J$2:J96,J96)&amp;"-"&amp;J96</f>
        <v>#N/A</v>
      </c>
      <c r="L96" t="e">
        <f t="shared" si="12"/>
        <v>#N/A</v>
      </c>
      <c r="M96" s="2" t="e">
        <f>RTD("cqg.rtd", ,"ContractData",L96, "PerCentNetLastTrade",, "T")/100</f>
        <v>#N/A</v>
      </c>
      <c r="N96" t="str">
        <f>"39-"&amp;"Information Technology"</f>
        <v>39-Information Technology</v>
      </c>
      <c r="O96" t="e">
        <f t="shared" si="13"/>
        <v>#N/A</v>
      </c>
      <c r="P96" s="2" t="e">
        <f>RTD("cqg.rtd", ,"ContractData",O96, "PerCentNetLastTrade",, "T")/100</f>
        <v>#N/A</v>
      </c>
      <c r="Q96" t="e">
        <f t="shared" si="14"/>
        <v>#N/A</v>
      </c>
    </row>
    <row r="97" spans="1:17" x14ac:dyDescent="0.3">
      <c r="A97" t="s">
        <v>96</v>
      </c>
      <c r="B97" t="str">
        <f>RTD("cqg.rtd", ,"ContractData",A97, "LongDescription",, "T")</f>
        <v>MONDELEZ INTL CMN A</v>
      </c>
      <c r="C97" s="1" t="s">
        <v>110</v>
      </c>
      <c r="D97" s="2" t="e">
        <f>RTD("cqg.rtd", ,"ContractData",A97, "PerCentNetLastTrade",, "T")/100</f>
        <v>#VALUE!</v>
      </c>
      <c r="E97" t="e">
        <f>RANK($D97,$D$2:D$104)+COUNTIF($D$2:D97,D97)-1</f>
        <v>#VALUE!</v>
      </c>
      <c r="F97" t="str">
        <f t="shared" si="15"/>
        <v>S.US.MDLZ</v>
      </c>
      <c r="G97" t="str">
        <f t="shared" si="9"/>
        <v>Consumer Staples</v>
      </c>
      <c r="H97">
        <f t="shared" si="16"/>
        <v>96</v>
      </c>
      <c r="I97" t="e">
        <f t="shared" si="10"/>
        <v>#N/A</v>
      </c>
      <c r="J97" t="e">
        <f t="shared" si="11"/>
        <v>#N/A</v>
      </c>
      <c r="K97" t="e">
        <f>COUNTIF($J$2:J97,J97)&amp;"-"&amp;J97</f>
        <v>#N/A</v>
      </c>
      <c r="L97" t="e">
        <f t="shared" si="12"/>
        <v>#N/A</v>
      </c>
      <c r="M97" s="2" t="e">
        <f>RTD("cqg.rtd", ,"ContractData",L97, "PerCentNetLastTrade",, "T")/100</f>
        <v>#N/A</v>
      </c>
      <c r="N97" t="str">
        <f>"40-"&amp;"Information Technology"</f>
        <v>40-Information Technology</v>
      </c>
      <c r="O97" t="e">
        <f t="shared" si="13"/>
        <v>#N/A</v>
      </c>
      <c r="P97" s="2" t="e">
        <f>RTD("cqg.rtd", ,"ContractData",O97, "PerCentNetLastTrade",, "T")/100</f>
        <v>#N/A</v>
      </c>
      <c r="Q97" t="e">
        <f t="shared" si="14"/>
        <v>#N/A</v>
      </c>
    </row>
    <row r="98" spans="1:17" x14ac:dyDescent="0.3">
      <c r="A98" t="s">
        <v>97</v>
      </c>
      <c r="B98" t="str">
        <f>RTD("cqg.rtd", ,"ContractData",A98, "LongDescription",, "T")</f>
        <v>MONSTER BEVERAGE CP</v>
      </c>
      <c r="C98" s="1" t="s">
        <v>110</v>
      </c>
      <c r="D98" s="2" t="e">
        <f>RTD("cqg.rtd", ,"ContractData",A98, "PerCentNetLastTrade",, "T")/100</f>
        <v>#VALUE!</v>
      </c>
      <c r="E98" t="e">
        <f>RANK($D98,$D$2:D$104)+COUNTIF($D$2:D98,D98)-1</f>
        <v>#VALUE!</v>
      </c>
      <c r="F98" t="str">
        <f t="shared" si="15"/>
        <v>S.US.MNST</v>
      </c>
      <c r="G98" t="str">
        <f t="shared" si="9"/>
        <v>Consumer Staples</v>
      </c>
      <c r="H98">
        <f t="shared" si="16"/>
        <v>97</v>
      </c>
      <c r="I98" t="e">
        <f t="shared" si="10"/>
        <v>#N/A</v>
      </c>
      <c r="J98" t="e">
        <f t="shared" si="11"/>
        <v>#N/A</v>
      </c>
      <c r="K98" t="e">
        <f>COUNTIF($J$2:J98,J98)&amp;"-"&amp;J98</f>
        <v>#N/A</v>
      </c>
      <c r="L98" t="e">
        <f t="shared" si="12"/>
        <v>#N/A</v>
      </c>
      <c r="M98" s="2" t="e">
        <f>RTD("cqg.rtd", ,"ContractData",L98, "PerCentNetLastTrade",, "T")/100</f>
        <v>#N/A</v>
      </c>
      <c r="N98" t="str">
        <f>"1-"&amp;"Materials"</f>
        <v>1-Materials</v>
      </c>
      <c r="O98" t="e">
        <f t="shared" si="13"/>
        <v>#N/A</v>
      </c>
      <c r="P98" s="2" t="e">
        <f>RTD("cqg.rtd", ,"ContractData",O98, "PerCentNetLastTrade",, "T")/100</f>
        <v>#N/A</v>
      </c>
      <c r="Q98" t="e">
        <f t="shared" si="14"/>
        <v>#N/A</v>
      </c>
    </row>
    <row r="99" spans="1:17" x14ac:dyDescent="0.3">
      <c r="A99" t="s">
        <v>98</v>
      </c>
      <c r="B99" t="str">
        <f>RTD("cqg.rtd", ,"ContractData",A99, "LongDescription",, "T")</f>
        <v>AMER ELC PWR CO CMN</v>
      </c>
      <c r="C99" s="1" t="s">
        <v>114</v>
      </c>
      <c r="D99" s="2" t="e">
        <f>RTD("cqg.rtd", ,"ContractData",A99, "PerCentNetLastTrade",, "T")/100</f>
        <v>#VALUE!</v>
      </c>
      <c r="E99" t="e">
        <f>RANK($D99,$D$2:D$104)+COUNTIF($D$2:D99,D99)-1</f>
        <v>#VALUE!</v>
      </c>
      <c r="F99" t="str">
        <f t="shared" si="15"/>
        <v>S.US.AEP</v>
      </c>
      <c r="G99" t="str">
        <f t="shared" si="9"/>
        <v>Utilities</v>
      </c>
      <c r="H99">
        <f t="shared" si="16"/>
        <v>98</v>
      </c>
      <c r="I99" t="e">
        <f t="shared" si="10"/>
        <v>#N/A</v>
      </c>
      <c r="J99" t="e">
        <f t="shared" si="11"/>
        <v>#N/A</v>
      </c>
      <c r="K99" t="e">
        <f>COUNTIF($J$2:J99,J99)&amp;"-"&amp;J99</f>
        <v>#N/A</v>
      </c>
      <c r="L99" t="e">
        <f t="shared" si="12"/>
        <v>#N/A</v>
      </c>
      <c r="M99" s="2" t="e">
        <f>RTD("cqg.rtd", ,"ContractData",L99, "PerCentNetLastTrade",, "T")/100</f>
        <v>#N/A</v>
      </c>
      <c r="N99" t="str">
        <f>"1-"&amp;"Real Estate"</f>
        <v>1-Real Estate</v>
      </c>
      <c r="O99" t="e">
        <f t="shared" si="13"/>
        <v>#N/A</v>
      </c>
      <c r="P99" s="2" t="e">
        <f>RTD("cqg.rtd", ,"ContractData",O99, "PerCentNetLastTrade",, "T")/100</f>
        <v>#N/A</v>
      </c>
      <c r="Q99" t="e">
        <f t="shared" si="14"/>
        <v>#N/A</v>
      </c>
    </row>
    <row r="100" spans="1:17" x14ac:dyDescent="0.3">
      <c r="A100" t="s">
        <v>99</v>
      </c>
      <c r="B100" t="str">
        <f>RTD("cqg.rtd", ,"ContractData",A100, "LongDescription",, "T")</f>
        <v>EXELON CORP CMN STK</v>
      </c>
      <c r="C100" s="1" t="s">
        <v>114</v>
      </c>
      <c r="D100" s="2" t="e">
        <f>RTD("cqg.rtd", ,"ContractData",A100, "PerCentNetLastTrade",, "T")/100</f>
        <v>#VALUE!</v>
      </c>
      <c r="E100" t="e">
        <f>RANK($D100,$D$2:D$104)+COUNTIF($D$2:D100,D100)-1</f>
        <v>#VALUE!</v>
      </c>
      <c r="F100" t="str">
        <f t="shared" si="15"/>
        <v>S.US.EXC</v>
      </c>
      <c r="G100" t="str">
        <f t="shared" si="9"/>
        <v>Utilities</v>
      </c>
      <c r="H100">
        <f t="shared" si="16"/>
        <v>99</v>
      </c>
      <c r="I100" t="e">
        <f t="shared" si="10"/>
        <v>#N/A</v>
      </c>
      <c r="J100" t="e">
        <f t="shared" si="11"/>
        <v>#N/A</v>
      </c>
      <c r="K100" t="e">
        <f>COUNTIF($J$2:J100,J100)&amp;"-"&amp;J100</f>
        <v>#N/A</v>
      </c>
      <c r="L100" t="e">
        <f t="shared" si="12"/>
        <v>#N/A</v>
      </c>
      <c r="M100" s="2" t="e">
        <f>RTD("cqg.rtd", ,"ContractData",L100, "PerCentNetLastTrade",, "T")/100</f>
        <v>#N/A</v>
      </c>
      <c r="N100" t="str">
        <f>"2-"&amp;"Real Estate"</f>
        <v>2-Real Estate</v>
      </c>
      <c r="O100" t="e">
        <f t="shared" si="13"/>
        <v>#N/A</v>
      </c>
      <c r="P100" s="2" t="e">
        <f>RTD("cqg.rtd", ,"ContractData",O100, "PerCentNetLastTrade",, "T")/100</f>
        <v>#N/A</v>
      </c>
      <c r="Q100" t="e">
        <f t="shared" si="14"/>
        <v>#N/A</v>
      </c>
    </row>
    <row r="101" spans="1:17" x14ac:dyDescent="0.3">
      <c r="A101" t="s">
        <v>100</v>
      </c>
      <c r="B101" t="str">
        <f>RTD("cqg.rtd", ,"ContractData",A101, "LongDescription",, "T")</f>
        <v>Xcel Energy Inc</v>
      </c>
      <c r="C101" s="1" t="s">
        <v>114</v>
      </c>
      <c r="D101" s="2" t="e">
        <f>RTD("cqg.rtd", ,"ContractData",A101, "PerCentNetLastTrade",, "T")/100</f>
        <v>#VALUE!</v>
      </c>
      <c r="E101" t="e">
        <f>RANK($D101,$D$2:D$104)+COUNTIF($D$2:D101,D101)-1</f>
        <v>#VALUE!</v>
      </c>
      <c r="F101" t="str">
        <f t="shared" si="15"/>
        <v>S.US.XEL</v>
      </c>
      <c r="G101" t="str">
        <f t="shared" si="9"/>
        <v>Utilities</v>
      </c>
      <c r="H101">
        <f t="shared" si="16"/>
        <v>100</v>
      </c>
      <c r="I101" t="e">
        <f t="shared" si="10"/>
        <v>#N/A</v>
      </c>
      <c r="J101" t="e">
        <f t="shared" si="11"/>
        <v>#N/A</v>
      </c>
      <c r="K101" t="e">
        <f>COUNTIF($J$2:J101,J101)&amp;"-"&amp;J101</f>
        <v>#N/A</v>
      </c>
      <c r="L101" t="e">
        <f t="shared" si="12"/>
        <v>#N/A</v>
      </c>
      <c r="M101" s="2" t="e">
        <f>RTD("cqg.rtd", ,"ContractData",L101, "PerCentNetLastTrade",, "T")/100</f>
        <v>#N/A</v>
      </c>
      <c r="N101" t="str">
        <f>"1-"&amp;"Utilities"</f>
        <v>1-Utilities</v>
      </c>
      <c r="O101" t="e">
        <f t="shared" si="13"/>
        <v>#N/A</v>
      </c>
      <c r="P101" s="2" t="e">
        <f>RTD("cqg.rtd", ,"ContractData",O101, "PerCentNetLastTrade",, "T")/100</f>
        <v>#N/A</v>
      </c>
      <c r="Q101" t="e">
        <f t="shared" si="14"/>
        <v>#N/A</v>
      </c>
    </row>
    <row r="102" spans="1:17" x14ac:dyDescent="0.3">
      <c r="A102" t="s">
        <v>101</v>
      </c>
      <c r="B102" t="str">
        <f>RTD("cqg.rtd", ,"ContractData",A102, "LongDescription",, "T")</f>
        <v>COSTAR GROUP INC ##</v>
      </c>
      <c r="C102" t="s">
        <v>116</v>
      </c>
      <c r="D102" s="2" t="e">
        <f>RTD("cqg.rtd", ,"ContractData",A102, "PerCentNetLastTrade",, "T")/100</f>
        <v>#VALUE!</v>
      </c>
      <c r="E102" t="e">
        <f>RANK($D102,$D$2:D$104)+COUNTIF($D$2:D102,D102)-1</f>
        <v>#VALUE!</v>
      </c>
      <c r="F102" t="str">
        <f t="shared" si="15"/>
        <v>S.US.CSGP</v>
      </c>
      <c r="G102" t="str">
        <f t="shared" si="9"/>
        <v>Real Estate</v>
      </c>
      <c r="H102">
        <f t="shared" si="16"/>
        <v>101</v>
      </c>
      <c r="I102" t="e">
        <f t="shared" si="10"/>
        <v>#N/A</v>
      </c>
      <c r="J102" t="e">
        <f t="shared" si="11"/>
        <v>#N/A</v>
      </c>
      <c r="K102" t="e">
        <f>COUNTIF($J$2:J102,J102)&amp;"-"&amp;J102</f>
        <v>#N/A</v>
      </c>
      <c r="L102" t="e">
        <f t="shared" si="12"/>
        <v>#N/A</v>
      </c>
      <c r="M102" s="2" t="e">
        <f>RTD("cqg.rtd", ,"ContractData",L102, "PerCentNetLastTrade",, "T")/100</f>
        <v>#N/A</v>
      </c>
      <c r="N102" t="str">
        <f>"2-"&amp;"Utilities"</f>
        <v>2-Utilities</v>
      </c>
      <c r="O102" t="e">
        <f t="shared" si="13"/>
        <v>#N/A</v>
      </c>
      <c r="P102" s="2" t="e">
        <f>RTD("cqg.rtd", ,"ContractData",O102, "PerCentNetLastTrade",, "T")/100</f>
        <v>#N/A</v>
      </c>
      <c r="Q102" t="e">
        <f t="shared" si="14"/>
        <v>#N/A</v>
      </c>
    </row>
    <row r="103" spans="1:17" x14ac:dyDescent="0.3">
      <c r="A103" t="s">
        <v>102</v>
      </c>
      <c r="B103" t="str">
        <f>RTD("cqg.rtd", ,"ContractData",A103, "LongDescription",, "T")</f>
        <v>EQUINIX, INC.</v>
      </c>
      <c r="C103" t="s">
        <v>116</v>
      </c>
      <c r="D103" s="2" t="e">
        <f>RTD("cqg.rtd", ,"ContractData",A103, "PerCentNetLastTrade",, "T")/100</f>
        <v>#VALUE!</v>
      </c>
      <c r="E103" t="e">
        <f>RANK($D103,$D$2:D$104)+COUNTIF($D$2:D103,D103)-1</f>
        <v>#VALUE!</v>
      </c>
      <c r="F103" t="str">
        <f t="shared" si="15"/>
        <v>S.US.EQIX</v>
      </c>
      <c r="G103" t="str">
        <f t="shared" si="9"/>
        <v>Real Estate</v>
      </c>
      <c r="H103">
        <f t="shared" si="16"/>
        <v>102</v>
      </c>
      <c r="I103" t="e">
        <f t="shared" si="10"/>
        <v>#N/A</v>
      </c>
      <c r="J103" t="e">
        <f t="shared" si="11"/>
        <v>#N/A</v>
      </c>
      <c r="K103" t="e">
        <f>COUNTIF($J$2:J103,J103)&amp;"-"&amp;J103</f>
        <v>#N/A</v>
      </c>
      <c r="L103" t="e">
        <f t="shared" si="12"/>
        <v>#N/A</v>
      </c>
      <c r="M103" s="2" t="e">
        <f>RTD("cqg.rtd", ,"ContractData",L103, "PerCentNetLastTrade",, "T")/100</f>
        <v>#N/A</v>
      </c>
      <c r="N103" t="str">
        <f>"3-"&amp;"Utilities"</f>
        <v>3-Utilities</v>
      </c>
      <c r="O103" t="e">
        <f t="shared" si="13"/>
        <v>#N/A</v>
      </c>
      <c r="P103" s="2" t="e">
        <f>RTD("cqg.rtd", ,"ContractData",O103, "PerCentNetLastTrade",, "T")/100</f>
        <v>#N/A</v>
      </c>
      <c r="Q103" t="e">
        <f t="shared" si="14"/>
        <v>#N/A</v>
      </c>
    </row>
    <row r="104" spans="1:17" x14ac:dyDescent="0.3">
      <c r="A104" t="s">
        <v>103</v>
      </c>
      <c r="B104" t="str">
        <f>RTD("cqg.rtd", ,"ContractData",A104, "LongDescription",, "T")</f>
        <v>PAYPAL HOLDINGS</v>
      </c>
      <c r="C104" t="s">
        <v>117</v>
      </c>
      <c r="D104" s="2" t="e">
        <f>RTD("cqg.rtd", ,"ContractData",A104, "PerCentNetLastTrade",, "T")/100</f>
        <v>#VALUE!</v>
      </c>
      <c r="E104" t="e">
        <f>RANK($D104,$D$2:D$104)+COUNTIF($D$2:D104,D104)-1</f>
        <v>#VALUE!</v>
      </c>
      <c r="F104" t="str">
        <f t="shared" si="15"/>
        <v>S.US.PYPL</v>
      </c>
      <c r="G104" t="str">
        <f t="shared" si="9"/>
        <v>Financials</v>
      </c>
      <c r="H104">
        <f t="shared" si="16"/>
        <v>103</v>
      </c>
      <c r="I104" t="e">
        <f t="shared" si="10"/>
        <v>#N/A</v>
      </c>
      <c r="J104" t="e">
        <f t="shared" si="11"/>
        <v>#N/A</v>
      </c>
      <c r="K104" t="e">
        <f>COUNTIF($J$2:J104,J104)&amp;"-"&amp;J104</f>
        <v>#N/A</v>
      </c>
      <c r="L104" t="e">
        <f t="shared" si="12"/>
        <v>#N/A</v>
      </c>
      <c r="M104" s="2" t="e">
        <f>RTD("cqg.rtd", ,"ContractData",L104, "PerCentNetLastTrade",, "T")/100</f>
        <v>#N/A</v>
      </c>
      <c r="N104" t="str">
        <f>"4-"&amp;"Utilities"</f>
        <v>4-Utilities</v>
      </c>
      <c r="O104" t="e">
        <f t="shared" si="13"/>
        <v>#N/A</v>
      </c>
      <c r="P104" s="2" t="e">
        <f>RTD("cqg.rtd", ,"ContractData",O104, "PerCentNetLastTrade",, "T")/100</f>
        <v>#N/A</v>
      </c>
      <c r="Q104" t="e">
        <f t="shared" si="14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2026-04-09T18:20:00Z</dcterms:created>
  <dcterms:modified xsi:type="dcterms:W3CDTF">2026-04-10T11:31:56Z</dcterms:modified>
</cp:coreProperties>
</file>